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https://saeinternational.sharepoint.com/sites/SAEDigitalMarketing/Shared Documents/SAE.org/Website Requests/Attend/CDS/2020/Clean Snowmobile_20/"/>
    </mc:Choice>
  </mc:AlternateContent>
  <xr:revisionPtr revIDLastSave="0" documentId="8_{E156BC56-F89B-409A-94FB-FA291B9A4C9D}" xr6:coauthVersionLast="45" xr6:coauthVersionMax="45" xr10:uidLastSave="{00000000-0000-0000-0000-000000000000}"/>
  <bookViews>
    <workbookView xWindow="2620" yWindow="2620" windowWidth="14400" windowHeight="7360" tabRatio="775" xr2:uid="{00000000-000D-0000-FFFF-FFFF00000000}"/>
  </bookViews>
  <sheets>
    <sheet name="Totals and Awards" sheetId="13" r:id="rId1"/>
    <sheet name="Paper" sheetId="1" r:id="rId2"/>
    <sheet name="Static" sheetId="2" r:id="rId3"/>
    <sheet name="MSRP" sheetId="3" r:id="rId4"/>
    <sheet name="Subjective Handling " sheetId="14" r:id="rId5"/>
    <sheet name="Fuel Economy-Endurance  " sheetId="4" r:id="rId6"/>
    <sheet name="Noise" sheetId="6" r:id="rId7"/>
    <sheet name="Oral" sheetId="5" r:id="rId8"/>
    <sheet name="Acceleration" sheetId="7" r:id="rId9"/>
    <sheet name="Lab Emissions" sheetId="18" r:id="rId10"/>
    <sheet name="In Service Emissions" sheetId="19" r:id="rId11"/>
    <sheet name="Cold Start" sheetId="10" r:id="rId12"/>
    <sheet name="Objective Handling" sheetId="11" r:id="rId13"/>
    <sheet name="Penalties and Bonuses" sheetId="12" r:id="rId14"/>
    <sheet name="Vehicle Weights" sheetId="15" r:id="rId15"/>
  </sheets>
  <definedNames>
    <definedName name="Bmax">'Lab Emissions'!#REF!</definedName>
    <definedName name="Bmin">'Lab Emissions'!#REF!</definedName>
    <definedName name="Emax">'Lab Emissions'!#REF!</definedName>
    <definedName name="Emin">'Lab Emissions'!#REF!</definedName>
    <definedName name="_xlnm.Print_Area" localSheetId="8">Acceleration!$A$1:$I$17</definedName>
    <definedName name="_xlnm.Print_Area" localSheetId="5">'Fuel Economy-Endurance  '!$A$9:$I$22</definedName>
    <definedName name="_xlnm.Print_Area" localSheetId="12">'Objective Handling'!$A$1:$H$18</definedName>
    <definedName name="_xlnm.Print_Area" localSheetId="0">'Totals and Awards'!$B$1:$P$55</definedName>
    <definedName name="_xlnm.Print_Area" localSheetId="14">'Vehicle Weights'!$A$1:$I$16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2" l="1"/>
  <c r="L6" i="12"/>
  <c r="L7" i="12"/>
  <c r="L8" i="12"/>
  <c r="L9" i="12"/>
  <c r="L10" i="12"/>
  <c r="L11" i="12"/>
  <c r="L12" i="12"/>
  <c r="L13" i="12"/>
  <c r="L14" i="12"/>
  <c r="L15" i="12"/>
  <c r="L16" i="12"/>
  <c r="L17" i="12"/>
  <c r="C37" i="13"/>
  <c r="D55" i="1"/>
  <c r="E55" i="1"/>
  <c r="F55" i="1"/>
  <c r="G55" i="1"/>
  <c r="H55" i="1"/>
  <c r="I55" i="1"/>
  <c r="J55" i="1"/>
  <c r="K55" i="1"/>
  <c r="L55" i="1"/>
  <c r="M55" i="1"/>
  <c r="N55" i="1"/>
  <c r="O55" i="1"/>
  <c r="P55" i="1"/>
  <c r="C55" i="1"/>
  <c r="D57" i="1" l="1"/>
  <c r="E57" i="1"/>
  <c r="F57" i="1"/>
  <c r="G57" i="1"/>
  <c r="H57" i="1"/>
  <c r="I57" i="1"/>
  <c r="J57" i="1"/>
  <c r="K57" i="1"/>
  <c r="L57" i="1"/>
  <c r="M57" i="1"/>
  <c r="N57" i="1"/>
  <c r="O57" i="1"/>
  <c r="P57" i="1"/>
  <c r="C57" i="1"/>
  <c r="L4" i="12" l="1"/>
  <c r="E6" i="7" l="1"/>
  <c r="E7" i="7"/>
  <c r="E8" i="7"/>
  <c r="E9" i="7"/>
  <c r="E10" i="7"/>
  <c r="E11" i="7"/>
  <c r="E12" i="7"/>
  <c r="E13" i="7"/>
  <c r="E14" i="7"/>
  <c r="E15" i="7"/>
  <c r="E16" i="7"/>
  <c r="E17" i="7"/>
  <c r="E18" i="7"/>
  <c r="E5" i="7"/>
  <c r="C20" i="18" l="1"/>
  <c r="C19" i="18"/>
  <c r="C22" i="18"/>
  <c r="C23" i="18"/>
  <c r="D5" i="10"/>
  <c r="D6" i="10"/>
  <c r="D7" i="10"/>
  <c r="D8" i="10"/>
  <c r="D9" i="10"/>
  <c r="D10" i="10"/>
  <c r="D11" i="10"/>
  <c r="D12" i="10"/>
  <c r="D13" i="10"/>
  <c r="D14" i="10"/>
  <c r="D15" i="10"/>
  <c r="D16" i="10"/>
  <c r="D17" i="10"/>
  <c r="D4" i="10"/>
  <c r="J5" i="6" l="1"/>
  <c r="H14" i="19" l="1"/>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 i="1"/>
  <c r="D6" i="6" l="1"/>
  <c r="D7" i="6"/>
  <c r="D8" i="6"/>
  <c r="D9" i="6"/>
  <c r="D10" i="6"/>
  <c r="D11" i="6"/>
  <c r="D12" i="6"/>
  <c r="D13" i="6"/>
  <c r="D14" i="6"/>
  <c r="D15" i="6"/>
  <c r="D16" i="6"/>
  <c r="D17" i="6"/>
  <c r="D18" i="6"/>
  <c r="D5" i="6"/>
  <c r="E13" i="4" l="1"/>
  <c r="E14" i="4"/>
  <c r="E16" i="4"/>
  <c r="E18" i="4"/>
  <c r="E20" i="4"/>
  <c r="E22" i="4"/>
  <c r="Q5" i="18"/>
  <c r="Q6" i="18"/>
  <c r="Q7" i="18"/>
  <c r="Q8" i="18"/>
  <c r="Q9" i="18"/>
  <c r="Q10" i="18"/>
  <c r="Q11" i="18"/>
  <c r="Q12" i="18"/>
  <c r="Q13" i="18"/>
  <c r="Q14" i="18"/>
  <c r="Q15" i="18"/>
  <c r="Q16" i="18"/>
  <c r="Q17" i="18"/>
  <c r="Q4" i="18"/>
  <c r="F3" i="4" l="1"/>
  <c r="F2" i="4"/>
  <c r="P17" i="13"/>
  <c r="P16" i="13"/>
  <c r="P15" i="13"/>
  <c r="O5" i="13"/>
  <c r="O10" i="13"/>
  <c r="O11" i="13"/>
  <c r="O13" i="13"/>
  <c r="O14" i="13"/>
  <c r="O17" i="13"/>
  <c r="O6" i="13"/>
  <c r="O7" i="13"/>
  <c r="O8" i="13"/>
  <c r="O9" i="13"/>
  <c r="O15" i="13"/>
  <c r="O16" i="13"/>
  <c r="J3" i="11" l="1"/>
  <c r="J2" i="11"/>
  <c r="F2" i="19"/>
  <c r="F1" i="19"/>
  <c r="F2" i="7"/>
  <c r="F3" i="7"/>
  <c r="C28" i="3"/>
  <c r="C27" i="3"/>
  <c r="H22" i="6"/>
  <c r="H21" i="6"/>
  <c r="H22" i="4" l="1"/>
  <c r="H20" i="4"/>
  <c r="H18" i="4"/>
  <c r="H16" i="4"/>
  <c r="H14" i="4"/>
  <c r="H13" i="4"/>
  <c r="R6" i="14" l="1"/>
  <c r="S6" i="14" s="1"/>
  <c r="R7" i="14"/>
  <c r="S7" i="14" s="1"/>
  <c r="R8" i="14"/>
  <c r="S8" i="14" s="1"/>
  <c r="R10" i="14"/>
  <c r="S10" i="14" s="1"/>
  <c r="R12" i="14"/>
  <c r="S12" i="14" s="1"/>
  <c r="R16" i="14"/>
  <c r="S16" i="14" s="1"/>
  <c r="J15" i="7"/>
  <c r="J7" i="7"/>
  <c r="J5" i="7"/>
  <c r="T10" i="14" l="1"/>
  <c r="T16" i="14"/>
  <c r="T12" i="14"/>
  <c r="T6" i="14"/>
  <c r="T7" i="14"/>
  <c r="T8" i="14"/>
  <c r="M17" i="13"/>
  <c r="H18" i="19"/>
  <c r="J18" i="7"/>
  <c r="BC17" i="5"/>
  <c r="BD17" i="5" s="1"/>
  <c r="D17" i="13"/>
  <c r="F17" i="13"/>
  <c r="K17" i="13"/>
  <c r="H9" i="19"/>
  <c r="H10" i="19"/>
  <c r="H12" i="19"/>
  <c r="J14" i="7"/>
  <c r="J10" i="7"/>
  <c r="J11" i="7"/>
  <c r="J12" i="7"/>
  <c r="J16" i="7"/>
  <c r="K5" i="13"/>
  <c r="K6" i="13"/>
  <c r="K7" i="13"/>
  <c r="K8" i="13"/>
  <c r="K9" i="13"/>
  <c r="K10" i="13"/>
  <c r="K11" i="13"/>
  <c r="K12" i="13"/>
  <c r="K13" i="13"/>
  <c r="K14" i="13"/>
  <c r="K15" i="13"/>
  <c r="K16" i="13"/>
  <c r="K4" i="13"/>
  <c r="J2" i="19" l="1"/>
  <c r="J1" i="19"/>
  <c r="P58" i="1"/>
  <c r="C17" i="13" s="1"/>
  <c r="B21" i="19"/>
  <c r="H17" i="13"/>
  <c r="B22" i="19" l="1"/>
  <c r="C14" i="19" s="1"/>
  <c r="J8" i="7"/>
  <c r="BC5" i="5"/>
  <c r="BC6" i="5"/>
  <c r="BC7" i="5"/>
  <c r="BC8" i="5"/>
  <c r="BC9" i="5"/>
  <c r="BC10" i="5"/>
  <c r="BC11" i="5"/>
  <c r="BC12" i="5"/>
  <c r="BC13" i="5"/>
  <c r="BC14" i="5"/>
  <c r="BC15" i="5"/>
  <c r="BC16" i="5"/>
  <c r="BC4" i="5"/>
  <c r="C12" i="19" l="1"/>
  <c r="C18" i="19"/>
  <c r="C10" i="19"/>
  <c r="C9" i="19"/>
  <c r="D10" i="19" l="1"/>
  <c r="D18" i="19"/>
  <c r="D12" i="19"/>
  <c r="D9" i="19"/>
  <c r="D14" i="19"/>
  <c r="D60" i="1"/>
  <c r="E60" i="1" l="1"/>
  <c r="L60" i="1"/>
  <c r="P60" i="1"/>
  <c r="H60" i="1"/>
  <c r="F60" i="1"/>
  <c r="C60" i="1"/>
  <c r="O60" i="1"/>
  <c r="N60" i="1"/>
  <c r="J60" i="1"/>
  <c r="I60" i="1"/>
  <c r="M60" i="1"/>
  <c r="G60" i="1"/>
  <c r="K60" i="1"/>
  <c r="D5" i="13"/>
  <c r="D6" i="13"/>
  <c r="D7" i="13"/>
  <c r="D8" i="13"/>
  <c r="D9" i="13"/>
  <c r="D10" i="13"/>
  <c r="D11" i="13"/>
  <c r="D12" i="13"/>
  <c r="D13" i="13"/>
  <c r="D14" i="13"/>
  <c r="D15" i="13"/>
  <c r="D16" i="13"/>
  <c r="D4" i="13"/>
  <c r="F9" i="13"/>
  <c r="F11" i="13"/>
  <c r="C58" i="1"/>
  <c r="C4" i="13" s="1"/>
  <c r="F14" i="13" l="1"/>
  <c r="F8" i="13"/>
  <c r="F16" i="13"/>
  <c r="F12" i="13"/>
  <c r="F6" i="13"/>
  <c r="F13" i="13"/>
  <c r="F7" i="13"/>
  <c r="F15" i="13"/>
  <c r="F10" i="13"/>
  <c r="F5" i="13"/>
  <c r="F12" i="15" l="1"/>
  <c r="F7" i="15"/>
  <c r="P5" i="13" l="1"/>
  <c r="P6" i="13"/>
  <c r="P7" i="13"/>
  <c r="P8" i="13"/>
  <c r="P9" i="13"/>
  <c r="P10" i="13"/>
  <c r="P11" i="13"/>
  <c r="P12" i="13"/>
  <c r="P13" i="13"/>
  <c r="P14" i="13"/>
  <c r="P4" i="13"/>
  <c r="J17" i="7" l="1"/>
  <c r="J13" i="7"/>
  <c r="J9" i="7"/>
  <c r="J6" i="7"/>
  <c r="K6" i="7" l="1"/>
  <c r="K5" i="7"/>
  <c r="K7" i="7"/>
  <c r="K15" i="7"/>
  <c r="K18" i="7"/>
  <c r="K14" i="7"/>
  <c r="K16" i="7"/>
  <c r="K11" i="7"/>
  <c r="K10" i="7"/>
  <c r="K12" i="7"/>
  <c r="J2" i="7"/>
  <c r="J3" i="7"/>
  <c r="K8" i="7"/>
  <c r="K13" i="7"/>
  <c r="K17" i="7"/>
  <c r="K9" i="7"/>
  <c r="F4" i="13" l="1"/>
  <c r="H23" i="6" l="1"/>
  <c r="BD16" i="5"/>
  <c r="BD15" i="5"/>
  <c r="BD14" i="5"/>
  <c r="BD13" i="5"/>
  <c r="BD12" i="5"/>
  <c r="BD11" i="5"/>
  <c r="BD10" i="5"/>
  <c r="H10" i="13" s="1"/>
  <c r="BD9" i="5"/>
  <c r="H9" i="13" s="1"/>
  <c r="BD8" i="5"/>
  <c r="H8" i="13" s="1"/>
  <c r="BD7" i="5"/>
  <c r="H7" i="13" s="1"/>
  <c r="BD6" i="5"/>
  <c r="BD5" i="5"/>
  <c r="H5" i="13" s="1"/>
  <c r="BD4" i="5"/>
  <c r="H4" i="13" s="1"/>
  <c r="BE17" i="5" l="1"/>
  <c r="H14" i="13"/>
  <c r="BE14" i="5"/>
  <c r="H11" i="13"/>
  <c r="BE11" i="5"/>
  <c r="H16" i="13"/>
  <c r="BE16" i="5"/>
  <c r="H13" i="13"/>
  <c r="BE13" i="5"/>
  <c r="H15" i="13"/>
  <c r="BE15" i="5"/>
  <c r="H12" i="13"/>
  <c r="BE12" i="5"/>
  <c r="H6" i="13"/>
  <c r="BE9" i="5"/>
  <c r="BE4" i="5"/>
  <c r="BE8" i="5"/>
  <c r="BE6" i="5"/>
  <c r="BE7" i="5"/>
  <c r="BE10" i="5"/>
  <c r="BE5" i="5"/>
  <c r="H24" i="6"/>
  <c r="I17" i="6" s="1"/>
  <c r="I14" i="6" l="1"/>
  <c r="I11" i="6"/>
  <c r="I13" i="6"/>
  <c r="I8" i="6"/>
  <c r="I9" i="6"/>
  <c r="M4" i="13"/>
  <c r="N58" i="1" l="1"/>
  <c r="C15" i="13" s="1"/>
  <c r="A6" i="1" l="1"/>
  <c r="A7" i="1" s="1"/>
  <c r="A8" i="1" s="1"/>
  <c r="A9" i="1" s="1"/>
  <c r="A10" i="1" s="1"/>
  <c r="M15" i="13"/>
  <c r="M7" i="13"/>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O58" i="1"/>
  <c r="C16" i="13" s="1"/>
  <c r="M58" i="1"/>
  <c r="C14" i="13" s="1"/>
  <c r="F14" i="15"/>
  <c r="F15" i="15"/>
  <c r="F16" i="15"/>
  <c r="M5" i="13"/>
  <c r="M6" i="13"/>
  <c r="M8" i="13"/>
  <c r="M9" i="13"/>
  <c r="M10" i="13"/>
  <c r="M11" i="13"/>
  <c r="M12" i="13"/>
  <c r="M13" i="13"/>
  <c r="M14" i="13"/>
  <c r="M16" i="13"/>
  <c r="O4" i="13"/>
  <c r="F5" i="15"/>
  <c r="F8" i="15"/>
  <c r="F10" i="15"/>
  <c r="I58" i="1"/>
  <c r="C10" i="13" s="1"/>
  <c r="E58" i="1"/>
  <c r="C6" i="13" s="1"/>
  <c r="F58" i="1"/>
  <c r="C7" i="13" s="1"/>
  <c r="G58" i="1"/>
  <c r="C8" i="13" s="1"/>
  <c r="L58" i="1"/>
  <c r="C13" i="13" s="1"/>
  <c r="K58" i="1"/>
  <c r="C12" i="13" s="1"/>
  <c r="J58" i="1"/>
  <c r="C11" i="13" s="1"/>
  <c r="D58" i="1"/>
  <c r="C5" i="13" s="1"/>
  <c r="H58" i="1"/>
  <c r="C9" i="13" s="1"/>
  <c r="I16" i="15" l="1"/>
  <c r="I14" i="15"/>
  <c r="I8" i="15"/>
  <c r="G2" i="15"/>
  <c r="I5" i="15"/>
  <c r="G1" i="15"/>
  <c r="I7" i="15"/>
  <c r="I12" i="15"/>
  <c r="I10" i="15"/>
  <c r="I15" i="15"/>
  <c r="J18" i="6"/>
  <c r="C25" i="3"/>
  <c r="F29" i="6"/>
  <c r="E21" i="7"/>
  <c r="E30" i="6"/>
  <c r="I17" i="13" l="1"/>
  <c r="C26" i="3"/>
  <c r="F17" i="3" s="1"/>
  <c r="M17" i="3" s="1"/>
  <c r="F20" i="3"/>
  <c r="M20" i="3" s="1"/>
  <c r="J22" i="11"/>
  <c r="E31" i="6"/>
  <c r="F30" i="6"/>
  <c r="E22" i="7"/>
  <c r="G15" i="7" s="1"/>
  <c r="F10" i="3" l="1"/>
  <c r="M10" i="3" s="1"/>
  <c r="O5" i="7"/>
  <c r="E17" i="13"/>
  <c r="E35" i="13" s="1"/>
  <c r="E14" i="13"/>
  <c r="F18" i="3"/>
  <c r="M18" i="3" s="1"/>
  <c r="E7" i="13"/>
  <c r="G18" i="7"/>
  <c r="F13" i="3"/>
  <c r="M13" i="3" s="1"/>
  <c r="F8" i="3"/>
  <c r="M8" i="3" s="1"/>
  <c r="F19" i="3"/>
  <c r="M19" i="3" s="1"/>
  <c r="F16" i="3"/>
  <c r="M16" i="3" s="1"/>
  <c r="F11" i="3"/>
  <c r="M11" i="3" s="1"/>
  <c r="F9" i="3"/>
  <c r="M9" i="3" s="1"/>
  <c r="F15" i="3"/>
  <c r="M15" i="3" s="1"/>
  <c r="F12" i="3"/>
  <c r="M12" i="3" s="1"/>
  <c r="F7" i="3"/>
  <c r="M7" i="3" s="1"/>
  <c r="E4" i="13" s="1"/>
  <c r="F14" i="3"/>
  <c r="M14" i="3" s="1"/>
  <c r="G7" i="7"/>
  <c r="K13" i="11"/>
  <c r="J14" i="13"/>
  <c r="G5" i="7"/>
  <c r="G6" i="7"/>
  <c r="G9" i="7"/>
  <c r="J23" i="11"/>
  <c r="K6" i="11" s="1"/>
  <c r="F31" i="6"/>
  <c r="E32" i="6"/>
  <c r="M6" i="11" l="1"/>
  <c r="J8" i="13"/>
  <c r="J17" i="13"/>
  <c r="D35" i="13" s="1"/>
  <c r="E11" i="13"/>
  <c r="N14" i="3"/>
  <c r="E5" i="13"/>
  <c r="N8" i="3"/>
  <c r="N7" i="3"/>
  <c r="E10" i="13"/>
  <c r="N13" i="3"/>
  <c r="E13" i="13"/>
  <c r="N16" i="3"/>
  <c r="N20" i="3"/>
  <c r="E6" i="13"/>
  <c r="N9" i="3"/>
  <c r="N17" i="3"/>
  <c r="E8" i="13"/>
  <c r="N11" i="3"/>
  <c r="N10" i="3"/>
  <c r="E9" i="13"/>
  <c r="N12" i="3"/>
  <c r="E12" i="13"/>
  <c r="N15" i="3"/>
  <c r="E16" i="13"/>
  <c r="N19" i="3"/>
  <c r="E15" i="13"/>
  <c r="N18" i="3"/>
  <c r="K16" i="11"/>
  <c r="K18" i="11"/>
  <c r="J5" i="13"/>
  <c r="J7" i="13"/>
  <c r="G8" i="7"/>
  <c r="J4" i="13"/>
  <c r="J15" i="13"/>
  <c r="G16" i="7"/>
  <c r="J16" i="13"/>
  <c r="G17" i="7"/>
  <c r="J9" i="13"/>
  <c r="G10" i="7"/>
  <c r="J10" i="13"/>
  <c r="G11" i="7"/>
  <c r="J6" i="13"/>
  <c r="J12" i="13"/>
  <c r="G13" i="7"/>
  <c r="J11" i="13"/>
  <c r="G12" i="7"/>
  <c r="J13" i="13"/>
  <c r="G14" i="7"/>
  <c r="K8" i="11"/>
  <c r="K9" i="11"/>
  <c r="N7" i="13"/>
  <c r="K17" i="11"/>
  <c r="N14" i="13"/>
  <c r="N4" i="13"/>
  <c r="K7" i="11"/>
  <c r="F32" i="6"/>
  <c r="E33" i="6"/>
  <c r="N13" i="13" l="1"/>
  <c r="K15" i="11"/>
  <c r="N17" i="13"/>
  <c r="K19" i="11"/>
  <c r="N8" i="13"/>
  <c r="K10" i="11"/>
  <c r="N10" i="13"/>
  <c r="K12" i="11"/>
  <c r="N6" i="13"/>
  <c r="N9" i="13"/>
  <c r="K11" i="11"/>
  <c r="N12" i="13"/>
  <c r="K14" i="11"/>
  <c r="N15" i="13"/>
  <c r="N5" i="13"/>
  <c r="N11" i="13"/>
  <c r="N16" i="13"/>
  <c r="F33" i="6"/>
  <c r="E34" i="6"/>
  <c r="E35" i="6" l="1"/>
  <c r="F34" i="6"/>
  <c r="F35" i="6" l="1"/>
  <c r="E36" i="6"/>
  <c r="F36" i="6" l="1"/>
  <c r="E37" i="6"/>
  <c r="E38" i="6" l="1"/>
  <c r="F37" i="6"/>
  <c r="F38" i="6" l="1"/>
  <c r="E39" i="6"/>
  <c r="F39" i="6" l="1"/>
  <c r="E40" i="6"/>
  <c r="F40" i="6" l="1"/>
  <c r="E41" i="6"/>
  <c r="F41" i="6" l="1"/>
  <c r="E42" i="6"/>
  <c r="F42" i="6" l="1"/>
  <c r="E43" i="6"/>
  <c r="E44" i="6" l="1"/>
  <c r="F43" i="6"/>
  <c r="F44" i="6" l="1"/>
  <c r="E45" i="6"/>
  <c r="F45" i="6" s="1"/>
  <c r="J14" i="6" l="1"/>
  <c r="J9" i="6"/>
  <c r="J6" i="6"/>
  <c r="J16" i="6"/>
  <c r="J13" i="6"/>
  <c r="J15" i="6"/>
  <c r="J12" i="6"/>
  <c r="J11" i="6"/>
  <c r="J17" i="6"/>
  <c r="J8" i="6"/>
  <c r="I7" i="6"/>
  <c r="J7" i="6" s="1"/>
  <c r="J10" i="6"/>
  <c r="I10" i="13" l="1"/>
  <c r="D28" i="13" s="1"/>
  <c r="K11" i="6"/>
  <c r="I11" i="13"/>
  <c r="D29" i="13" s="1"/>
  <c r="I9" i="13"/>
  <c r="I15" i="13"/>
  <c r="D33" i="13" s="1"/>
  <c r="I6" i="13"/>
  <c r="K7" i="6"/>
  <c r="I5" i="13"/>
  <c r="D23" i="13" s="1"/>
  <c r="I7" i="13"/>
  <c r="K8" i="6"/>
  <c r="I14" i="13"/>
  <c r="D32" i="13" s="1"/>
  <c r="I8" i="13"/>
  <c r="D26" i="13" s="1"/>
  <c r="K9" i="6"/>
  <c r="I16" i="13"/>
  <c r="D34" i="13" s="1"/>
  <c r="K17" i="6"/>
  <c r="I12" i="13"/>
  <c r="D30" i="13" s="1"/>
  <c r="K13" i="6"/>
  <c r="I13" i="13"/>
  <c r="K14" i="6"/>
  <c r="I4" i="13"/>
  <c r="D22" i="13" s="1"/>
  <c r="E26" i="13" l="1"/>
  <c r="E27" i="13"/>
  <c r="D27" i="13"/>
  <c r="E24" i="13"/>
  <c r="D24" i="13"/>
  <c r="E31" i="13"/>
  <c r="D31" i="13"/>
  <c r="E25" i="13"/>
  <c r="D25" i="13"/>
  <c r="E28" i="13"/>
  <c r="E30" i="13"/>
  <c r="E32" i="13"/>
  <c r="E23" i="13"/>
  <c r="E34" i="13"/>
  <c r="E29" i="13"/>
  <c r="E33" i="13"/>
  <c r="E22" i="13"/>
  <c r="D37" i="13" l="1"/>
  <c r="E37" i="13"/>
  <c r="F6" i="4"/>
  <c r="F7" i="4" l="1"/>
  <c r="F14" i="4" l="1"/>
  <c r="F20" i="4"/>
  <c r="F16" i="4"/>
  <c r="F18" i="4"/>
  <c r="F13" i="4"/>
  <c r="F22" i="4"/>
  <c r="G4" i="13"/>
  <c r="G15" i="13"/>
  <c r="G13" i="4" l="1"/>
  <c r="G14" i="4"/>
  <c r="G11" i="4"/>
  <c r="G12" i="13"/>
  <c r="G30" i="13" s="1"/>
  <c r="G18" i="4"/>
  <c r="G14" i="13"/>
  <c r="G32" i="13" s="1"/>
  <c r="G20" i="4"/>
  <c r="G10" i="13"/>
  <c r="G28" i="13" s="1"/>
  <c r="G16" i="4"/>
  <c r="G13" i="13"/>
  <c r="G31" i="13" s="1"/>
  <c r="G16" i="13"/>
  <c r="G34" i="13" s="1"/>
  <c r="G22" i="4"/>
  <c r="G11" i="13"/>
  <c r="G29" i="13" s="1"/>
  <c r="G17" i="13"/>
  <c r="G8" i="13"/>
  <c r="G26" i="13" s="1"/>
  <c r="G33" i="13"/>
  <c r="G22" i="13"/>
  <c r="G5" i="13"/>
  <c r="G7" i="13"/>
  <c r="G9" i="13"/>
  <c r="G6" i="13"/>
  <c r="F21" i="19"/>
  <c r="G35" i="13" l="1"/>
  <c r="G25" i="13"/>
  <c r="G27" i="13"/>
  <c r="G24" i="13"/>
  <c r="G23" i="13"/>
  <c r="F22" i="19"/>
  <c r="I14" i="19" s="1"/>
  <c r="I18" i="19" l="1"/>
  <c r="K14" i="19"/>
  <c r="L12" i="13" s="1"/>
  <c r="G37" i="13"/>
  <c r="I12" i="19"/>
  <c r="I10" i="19"/>
  <c r="I9" i="19"/>
  <c r="J6" i="19"/>
  <c r="J18" i="19" l="1"/>
  <c r="J13" i="19"/>
  <c r="J11" i="19"/>
  <c r="J17" i="19"/>
  <c r="J15" i="19"/>
  <c r="J9" i="19"/>
  <c r="J7" i="19"/>
  <c r="J10" i="19"/>
  <c r="J19" i="19"/>
  <c r="J8" i="19"/>
  <c r="J12" i="19"/>
  <c r="J16" i="19"/>
  <c r="J14" i="19"/>
  <c r="K19" i="19"/>
  <c r="L17" i="13" s="1"/>
  <c r="K17" i="19"/>
  <c r="L15" i="13" s="1"/>
  <c r="K18" i="19"/>
  <c r="L16" i="13" s="1"/>
  <c r="K16" i="19"/>
  <c r="L14" i="13" s="1"/>
  <c r="K6" i="19"/>
  <c r="L4" i="13" s="1"/>
  <c r="K13" i="19"/>
  <c r="L11" i="13" s="1"/>
  <c r="K11" i="19"/>
  <c r="L9" i="13" s="1"/>
  <c r="K15" i="19"/>
  <c r="L13" i="13" s="1"/>
  <c r="K9" i="19"/>
  <c r="L7" i="13" s="1"/>
  <c r="K7" i="19"/>
  <c r="L5" i="13" s="1"/>
  <c r="K10" i="19"/>
  <c r="L8" i="13" s="1"/>
  <c r="K8" i="19"/>
  <c r="L6" i="13" s="1"/>
  <c r="K12" i="19"/>
  <c r="L10" i="13" s="1"/>
  <c r="H35" i="13" l="1"/>
  <c r="Q17" i="13"/>
  <c r="Q15" i="13"/>
  <c r="H33" i="13"/>
  <c r="Q14" i="13"/>
  <c r="H32" i="13"/>
  <c r="H34" i="13"/>
  <c r="Q16" i="13"/>
  <c r="Q13" i="13"/>
  <c r="H31" i="13"/>
  <c r="H24" i="13"/>
  <c r="Q6" i="13"/>
  <c r="H25" i="13"/>
  <c r="Q7" i="13"/>
  <c r="Q9" i="13"/>
  <c r="H27" i="13"/>
  <c r="Q4" i="13"/>
  <c r="H22" i="13"/>
  <c r="Q10" i="13"/>
  <c r="H28" i="13"/>
  <c r="H23" i="13"/>
  <c r="Q5" i="13"/>
  <c r="Q11" i="13"/>
  <c r="H29" i="13"/>
  <c r="Q8" i="13"/>
  <c r="H26" i="13"/>
  <c r="O12" i="13"/>
  <c r="H30" i="13" s="1"/>
  <c r="Q12" i="13" l="1"/>
  <c r="I35" i="13"/>
  <c r="I33" i="13"/>
  <c r="I30" i="13"/>
  <c r="I34" i="13"/>
  <c r="I31" i="13"/>
  <c r="I25" i="13"/>
  <c r="I23" i="13"/>
  <c r="I27" i="13"/>
  <c r="I28" i="13"/>
  <c r="I26" i="13"/>
  <c r="I22" i="13"/>
  <c r="I32" i="13"/>
  <c r="I24" i="13"/>
  <c r="I29" i="13"/>
</calcChain>
</file>

<file path=xl/sharedStrings.xml><?xml version="1.0" encoding="utf-8"?>
<sst xmlns="http://schemas.openxmlformats.org/spreadsheetml/2006/main" count="743" uniqueCount="330">
  <si>
    <t xml:space="preserve">Gmax = </t>
  </si>
  <si>
    <t>Gmin =</t>
  </si>
  <si>
    <t>Emissions</t>
  </si>
  <si>
    <t>Handling</t>
  </si>
  <si>
    <t>Oral</t>
  </si>
  <si>
    <t>Static</t>
  </si>
  <si>
    <t>Paper</t>
  </si>
  <si>
    <t>Late Paper</t>
  </si>
  <si>
    <t>Safety Violation</t>
  </si>
  <si>
    <t>POINTS</t>
  </si>
  <si>
    <t>Fuel Economy (MPG)</t>
  </si>
  <si>
    <t>gallons</t>
  </si>
  <si>
    <t>miles</t>
  </si>
  <si>
    <t>Distance=</t>
  </si>
  <si>
    <t>SCORE</t>
  </si>
  <si>
    <t>Tmin=</t>
  </si>
  <si>
    <t>sec</t>
  </si>
  <si>
    <t>Result (PASS/FAIL)</t>
  </si>
  <si>
    <t>Best</t>
  </si>
  <si>
    <t>Points</t>
  </si>
  <si>
    <t>Design</t>
  </si>
  <si>
    <t>Most</t>
  </si>
  <si>
    <t>Practical</t>
  </si>
  <si>
    <t>TOTAL</t>
  </si>
  <si>
    <t>RANK</t>
  </si>
  <si>
    <t>FINAL</t>
  </si>
  <si>
    <t>Ordinal</t>
  </si>
  <si>
    <t>(Course distance)</t>
  </si>
  <si>
    <t>Run1 Time (s)</t>
  </si>
  <si>
    <t>Run2 Time (s)</t>
  </si>
  <si>
    <t>Minimum Lap Time (s)</t>
  </si>
  <si>
    <t>Tmax =</t>
  </si>
  <si>
    <t>Tmin =</t>
  </si>
  <si>
    <t>Noise</t>
  </si>
  <si>
    <t>Acceleration</t>
  </si>
  <si>
    <t>Best Time (s)</t>
  </si>
  <si>
    <t>Late Oral</t>
  </si>
  <si>
    <t>Fuel</t>
  </si>
  <si>
    <t>Economy</t>
  </si>
  <si>
    <t>Cold</t>
  </si>
  <si>
    <t>Start</t>
  </si>
  <si>
    <t xml:space="preserve"> </t>
  </si>
  <si>
    <t>Objective</t>
  </si>
  <si>
    <t>Display</t>
  </si>
  <si>
    <t>Subjective</t>
  </si>
  <si>
    <t>Comments</t>
  </si>
  <si>
    <t>Actual
Gallons
Consumed</t>
  </si>
  <si>
    <t>Score</t>
  </si>
  <si>
    <t>Late Design 
Write-up/Fuel Selection</t>
  </si>
  <si>
    <t>Front Left</t>
  </si>
  <si>
    <t>Front Right</t>
  </si>
  <si>
    <t>Rear</t>
  </si>
  <si>
    <t>Wmin=</t>
  </si>
  <si>
    <t>Wmax=</t>
  </si>
  <si>
    <t>pounds</t>
  </si>
  <si>
    <t>Total</t>
  </si>
  <si>
    <t>Late MSRP</t>
  </si>
  <si>
    <t>Bonus for No Maintenance</t>
  </si>
  <si>
    <t>Maintenance
or
Design</t>
  </si>
  <si>
    <t>Bonuses</t>
  </si>
  <si>
    <t>Penalties/</t>
  </si>
  <si>
    <t>Miles
 Completed</t>
  </si>
  <si>
    <t>MSRP</t>
  </si>
  <si>
    <t>Best Fuel Economy Winner (Gage)</t>
  </si>
  <si>
    <t>Most Practical Winner (BRC)</t>
  </si>
  <si>
    <t>Average</t>
  </si>
  <si>
    <t>Subjective Points</t>
  </si>
  <si>
    <t>Total Noise</t>
  </si>
  <si>
    <t>Min=</t>
  </si>
  <si>
    <t xml:space="preserve"> Rank</t>
  </si>
  <si>
    <t>Tmax=</t>
  </si>
  <si>
    <t xml:space="preserve">  </t>
  </si>
  <si>
    <t>Lab Emissions</t>
  </si>
  <si>
    <t>In Service</t>
  </si>
  <si>
    <t>Inspection
 Penalty</t>
  </si>
  <si>
    <t>Ranking</t>
  </si>
  <si>
    <t>CSC Points</t>
  </si>
  <si>
    <t>Lowest "In Service" Emissions (Sensors)</t>
  </si>
  <si>
    <t>FINAL EMISSIONS (grams/mile)</t>
  </si>
  <si>
    <t>No points for</t>
  </si>
  <si>
    <t>Weight</t>
  </si>
  <si>
    <t>BSFC +</t>
  </si>
  <si>
    <t>Fuel Economy +</t>
  </si>
  <si>
    <t>Completed 5 Modes</t>
  </si>
  <si>
    <t>Lab Emission Test</t>
  </si>
  <si>
    <t>Lab Emission Points</t>
  </si>
  <si>
    <t>Lab EmissionRanking</t>
  </si>
  <si>
    <t>Weighted BSFC</t>
  </si>
  <si>
    <t>Teams exceeding 130 HP during the Power Sweep will not be allowed to continue</t>
  </si>
  <si>
    <t>Min Emissions</t>
  </si>
  <si>
    <t>Max Emission</t>
  </si>
  <si>
    <t>Min Fuel Economy</t>
  </si>
  <si>
    <t>Max Fuel Economy</t>
  </si>
  <si>
    <t>BSFC Points</t>
  </si>
  <si>
    <t>Justifying starting point for sled</t>
  </si>
  <si>
    <t>Justifying reason for component adds</t>
  </si>
  <si>
    <t>Quality of research in determining price</t>
  </si>
  <si>
    <t>Team</t>
  </si>
  <si>
    <t>(information only)</t>
  </si>
  <si>
    <t>on</t>
  </si>
  <si>
    <t>Test
Miles</t>
  </si>
  <si>
    <t>Comment</t>
  </si>
  <si>
    <t>"y=mx+B'</t>
  </si>
  <si>
    <t>Y=score</t>
  </si>
  <si>
    <t>X=cost</t>
  </si>
  <si>
    <t>M=slope</t>
  </si>
  <si>
    <t>B=Y intercept at X=0</t>
  </si>
  <si>
    <t>Max=</t>
  </si>
  <si>
    <t>Max score points=</t>
  </si>
  <si>
    <t>Y=mx+b</t>
  </si>
  <si>
    <t>m=</t>
  </si>
  <si>
    <t>b=</t>
  </si>
  <si>
    <t>Linear curve</t>
  </si>
  <si>
    <t>y=mx+b</t>
  </si>
  <si>
    <t>Linear POINTS</t>
  </si>
  <si>
    <t>Mimimum score is 5 points regardless of averaage</t>
  </si>
  <si>
    <t>Otherwise the average is the score.</t>
  </si>
  <si>
    <t>Linear Ranking on Price</t>
  </si>
  <si>
    <t>These scores are subjective from the judges for the respective categories.</t>
  </si>
  <si>
    <t>20 Points are given on a linear scale from low to high.</t>
  </si>
  <si>
    <t>Total Score</t>
  </si>
  <si>
    <t>Minimum score is 2.5 if they compete.</t>
  </si>
  <si>
    <t>Minimum score is 2.5 if they turn in an MSRP.</t>
  </si>
  <si>
    <t>Minimum score is 50 points if they show up and stay until allowed to leave.</t>
  </si>
  <si>
    <t>Notes</t>
  </si>
  <si>
    <t>Slope</t>
  </si>
  <si>
    <t>Minimum  rank</t>
  </si>
  <si>
    <t>Intercept</t>
  </si>
  <si>
    <t>Maximum rank</t>
  </si>
  <si>
    <t>or whatever the control sled is</t>
  </si>
  <si>
    <t>Minimum score is 5 points as long as a report is submitted.</t>
  </si>
  <si>
    <t>Fuel Economy</t>
  </si>
  <si>
    <t>Sound Pressure</t>
  </si>
  <si>
    <t>Sample result: -3dB in sound pressure = ~half the max score</t>
  </si>
  <si>
    <t>Lowest SPL gets 150 points</t>
  </si>
  <si>
    <t>SPL equal to or greater than control sled gets 7.5 points</t>
  </si>
  <si>
    <t>CO+NO+THC
g/mile</t>
  </si>
  <si>
    <t>Endurance</t>
  </si>
  <si>
    <t>Run 1 Lap Time (s)</t>
  </si>
  <si>
    <t>Run 2 Lap Time (s)</t>
  </si>
  <si>
    <t>Fuel consumed (gallons)</t>
  </si>
  <si>
    <t>Design Paper
Judge</t>
  </si>
  <si>
    <t>MinEScore</t>
  </si>
  <si>
    <t>MaxEScore</t>
  </si>
  <si>
    <t>MinBSFC</t>
  </si>
  <si>
    <t>MaxBSFC</t>
  </si>
  <si>
    <t>Minimum Points</t>
  </si>
  <si>
    <t>Maximum Points</t>
  </si>
  <si>
    <t>Value</t>
  </si>
  <si>
    <t>as above</t>
  </si>
  <si>
    <t>dBA</t>
  </si>
  <si>
    <t>Control Sled tested to J1161 Sound Pressure
 at 35mph in dBA</t>
  </si>
  <si>
    <t>Total Time must be Less than 10 seconds</t>
  </si>
  <si>
    <t>Total Points</t>
  </si>
  <si>
    <t>FE Score</t>
  </si>
  <si>
    <t>FE Ordinal</t>
  </si>
  <si>
    <t>Penalties</t>
  </si>
  <si>
    <t>negative numbers</t>
  </si>
  <si>
    <t>positive numbers</t>
  </si>
  <si>
    <t>Top Speed Run 1</t>
  </si>
  <si>
    <t>Top Speed Run 2</t>
  </si>
  <si>
    <t>Best Speed (mph)</t>
  </si>
  <si>
    <t>Sums</t>
  </si>
  <si>
    <t>Horiba "A Team in Need" - portable
 5 gas analyzer $5,000 value</t>
  </si>
  <si>
    <t>Ecole De Technologie Superieure</t>
  </si>
  <si>
    <t>Univ of Wisconsin - Madison</t>
  </si>
  <si>
    <t>Univ of Minnesota-Duluth</t>
  </si>
  <si>
    <t>Univ of Idaho</t>
  </si>
  <si>
    <t>SUNY - Buffalo</t>
  </si>
  <si>
    <t>Rochester Institute of Technology</t>
  </si>
  <si>
    <t>Iowa State Univ</t>
  </si>
  <si>
    <t>Univ of Wisconsin - Platteville</t>
  </si>
  <si>
    <t>Indiana Univ Purdue Univ Indianapolis</t>
  </si>
  <si>
    <t>Univ of Minnesota - Twin Cities</t>
  </si>
  <si>
    <t>For reference only</t>
  </si>
  <si>
    <t>Brenden Bungert Polaris</t>
  </si>
  <si>
    <t>(Best fuel economy)</t>
  </si>
  <si>
    <t>(worst fuel economy)</t>
  </si>
  <si>
    <t>Name</t>
  </si>
  <si>
    <t>Maximum Horsepower &lt; 130</t>
  </si>
  <si>
    <t>CO &lt; 275</t>
  </si>
  <si>
    <t>HC + Nox &lt; 90</t>
  </si>
  <si>
    <t>E Score &gt; 175</t>
  </si>
  <si>
    <t>Soot &lt; 50</t>
  </si>
  <si>
    <t>Passing E Scores</t>
  </si>
  <si>
    <t>Must PASS "Lab Emissions Test" to score "Lab Emission Points"</t>
  </si>
  <si>
    <t>Must PASS "Completed 5 Modes" to score "BSFC points", but do not have to PASS the "Lab Emission Test"</t>
  </si>
  <si>
    <t>Flags 1 sec</t>
  </si>
  <si>
    <t>Box 5 sec</t>
  </si>
  <si>
    <t>Best Design Winner (Oshkosh)</t>
  </si>
  <si>
    <t>Best Value Award (Continental)</t>
  </si>
  <si>
    <r>
      <t xml:space="preserve">Most Sportsmanlike Winner  (AVL) </t>
    </r>
    <r>
      <rPr>
        <b/>
        <sz val="12"/>
        <color rgb="FF00B050"/>
        <rFont val="Arial"/>
        <family val="2"/>
      </rPr>
      <t>$1000</t>
    </r>
  </si>
  <si>
    <r>
      <t xml:space="preserve">Second Place Winner Overall (YNP) </t>
    </r>
    <r>
      <rPr>
        <b/>
        <sz val="12"/>
        <color rgb="FF00B050"/>
        <rFont val="Arial"/>
        <family val="2"/>
      </rPr>
      <t>$750</t>
    </r>
  </si>
  <si>
    <r>
      <t>Third Place Winner Overall (ACSA)</t>
    </r>
    <r>
      <rPr>
        <b/>
        <sz val="12"/>
        <color rgb="FF00B050"/>
        <rFont val="Arial"/>
        <family val="2"/>
      </rPr>
      <t xml:space="preserve"> $500</t>
    </r>
  </si>
  <si>
    <r>
      <t xml:space="preserve">First Place Winner Overall
 (ISMA) </t>
    </r>
    <r>
      <rPr>
        <b/>
        <sz val="12"/>
        <color rgb="FF00B050"/>
        <rFont val="Arial"/>
        <family val="2"/>
      </rPr>
      <t>$1,000</t>
    </r>
    <r>
      <rPr>
        <b/>
        <sz val="12"/>
        <rFont val="Arial"/>
        <family val="2"/>
      </rPr>
      <t xml:space="preserve"> 
Additionally from MacLean-Fogg $1000 plus traveling trophy</t>
    </r>
  </si>
  <si>
    <t>MSA Award Plaque for Endurance</t>
  </si>
  <si>
    <t>Best Lab Emissions Winner (AVL)</t>
  </si>
  <si>
    <t>Montana State Univ</t>
  </si>
  <si>
    <t>Michigan Tech Univ</t>
  </si>
  <si>
    <t>Rank</t>
  </si>
  <si>
    <t>Michigan Tech</t>
  </si>
  <si>
    <t>-</t>
  </si>
  <si>
    <t>g/kw-hr</t>
  </si>
  <si>
    <t>Control Sled Polaris</t>
  </si>
  <si>
    <r>
      <t xml:space="preserve">Propulsion Efficiency (Borg Warner) </t>
    </r>
    <r>
      <rPr>
        <b/>
        <sz val="12"/>
        <color rgb="FF00B050"/>
        <rFont val="Arial"/>
        <family val="2"/>
      </rPr>
      <t>$1000</t>
    </r>
  </si>
  <si>
    <t>Control Sled</t>
  </si>
  <si>
    <t>Emissions Fuel E Zero</t>
  </si>
  <si>
    <t>CAN-DO E-Controls award (E Controls) $1,000 value products</t>
  </si>
  <si>
    <t>Kettering Univ</t>
  </si>
  <si>
    <t>Montana State Univ - Bozeman</t>
  </si>
  <si>
    <t>Univ of Maryland - Baltimore County</t>
  </si>
  <si>
    <t>SUNY-Buffalo</t>
  </si>
  <si>
    <t>Univ of Wisconsin - Plattevill</t>
  </si>
  <si>
    <t>University of Minnesota - Twin Cities</t>
  </si>
  <si>
    <t>University of Idaho</t>
  </si>
  <si>
    <t>University of Minnesota - Duluth</t>
  </si>
  <si>
    <t>University of Wisconsin - Madison</t>
  </si>
  <si>
    <t>Indiana Univ Purdue</t>
  </si>
  <si>
    <t>University of Maryland - Baltimore</t>
  </si>
  <si>
    <t>CSC 2020 Competition Totals SI Class</t>
  </si>
  <si>
    <t>SAE CSC 2020 Design Paper</t>
  </si>
  <si>
    <t>SAE CSC 2020 Static Display Results</t>
  </si>
  <si>
    <t>SAE CSC 2020 Subjective Ride Results - Event Coordinator - Polaris</t>
  </si>
  <si>
    <t>SAE CSC 2020 Fuel Economy/Endurance Results</t>
  </si>
  <si>
    <t>SAE CSC 2020 SI Engine Noise Testing</t>
  </si>
  <si>
    <t>SAE CSC 2020 Oral Presentation Results</t>
  </si>
  <si>
    <t>SAE CSC 2020 Acceleration Results Bredan Bungert- Polaris</t>
  </si>
  <si>
    <t>SAE CSC 2020 Cold Start Results</t>
  </si>
  <si>
    <t xml:space="preserve">SAE CSC 2020 Objective Handling/Driveability </t>
  </si>
  <si>
    <t>SAE CSC 2020 Penalties and Bonuses</t>
  </si>
  <si>
    <t>SAE CSC 2020 IC Vehicle Weights</t>
  </si>
  <si>
    <t>MBBM Data</t>
  </si>
  <si>
    <t>Control Sled J192 Sound Pressure Per Test by Mueller BBM</t>
  </si>
  <si>
    <t>Control Sled J1161 Sound Pressure Level from GLSV</t>
  </si>
  <si>
    <t>GLSV Data</t>
  </si>
  <si>
    <t>Put lowest GLSV score here &gt;</t>
  </si>
  <si>
    <t>Manual lookup</t>
  </si>
  <si>
    <t xml:space="preserve">then put score above </t>
  </si>
  <si>
    <t>in GLSV column</t>
  </si>
  <si>
    <t>equals average</t>
  </si>
  <si>
    <t>failed at aboout 4 miles due to engine problems - 5 points</t>
  </si>
  <si>
    <t>failed at 0 miles - could not start their engine - zero points</t>
  </si>
  <si>
    <t>john.katnik</t>
  </si>
  <si>
    <t>jonpep2466</t>
  </si>
  <si>
    <t>Mike Green</t>
  </si>
  <si>
    <t>whynotbobk</t>
  </si>
  <si>
    <t>Howard Haines</t>
  </si>
  <si>
    <t>agallipo</t>
  </si>
  <si>
    <t>bpatzelt</t>
  </si>
  <si>
    <t>dshimcoski</t>
  </si>
  <si>
    <t>Gearhead7677</t>
  </si>
  <si>
    <t>Craig Allen</t>
  </si>
  <si>
    <t>lpeter</t>
  </si>
  <si>
    <t>polanglois</t>
  </si>
  <si>
    <t>tcimermabcic</t>
  </si>
  <si>
    <t>wbryan</t>
  </si>
  <si>
    <t>zlipple</t>
  </si>
  <si>
    <t>Dan Nehmer</t>
  </si>
  <si>
    <t>afuhrman</t>
  </si>
  <si>
    <t>bob.bonneau</t>
  </si>
  <si>
    <t>malouftc</t>
  </si>
  <si>
    <t>Phil Mcdowell</t>
  </si>
  <si>
    <t>Bill Casson</t>
  </si>
  <si>
    <t>CadeSmithBEG</t>
  </si>
  <si>
    <t>cagreen</t>
  </si>
  <si>
    <t>dkalash</t>
  </si>
  <si>
    <t>gniedermaier</t>
  </si>
  <si>
    <t>jchristensen48189</t>
  </si>
  <si>
    <t>Mcoach</t>
  </si>
  <si>
    <t>nmlatuszMPT</t>
  </si>
  <si>
    <t>WA8VTD&amp;CSC20</t>
  </si>
  <si>
    <t>Lomasney</t>
  </si>
  <si>
    <t>Jalden</t>
  </si>
  <si>
    <t>JasonOllanketo</t>
  </si>
  <si>
    <t>mjclevel</t>
  </si>
  <si>
    <t>DNF</t>
  </si>
  <si>
    <t>Comments:</t>
  </si>
  <si>
    <t>1st year team, great attitude and look forward to having them back next yeart.</t>
  </si>
  <si>
    <t xml:space="preserve">Substitution rule and use of stock components not well defined - Review rules </t>
  </si>
  <si>
    <t xml:space="preserve">Struggled to justify why they would add $2k+ suspention adds to sled.  </t>
  </si>
  <si>
    <t>Added components not required for production sled, ie CAN O2</t>
  </si>
  <si>
    <t>Could have added track from BRP and not used substitution rule, didn't explain why track was changed well.</t>
  </si>
  <si>
    <t>MSRP was detailed but they did not read rules well which resulted in significant costs added for development hardware that would not be on production sled.</t>
  </si>
  <si>
    <t>Wrong spreadsheet, 2018 sled.  Described why they used 850cc but valued at 600cc to some degree, but not completely (sellling power, fun, and not engine size).  Quality of research was lacking details, contact information.</t>
  </si>
  <si>
    <t>Example, exhaust system costing was too expensive.  Should have put more time into determing realistic costs rather than team fabrication cost.  Show more work, methodology.</t>
  </si>
  <si>
    <t>Excellent justification for choice of sled, good detail of what they wanted; place to start.</t>
  </si>
  <si>
    <t>80HP Turbo sled, could not explain well what advantages were to adding turbo to this engine rather than building NA sled in same power class with less complexity.</t>
  </si>
  <si>
    <t>Didn't show any work and very difficult to follow submitted MSRP.  Claimed heated injectors same value as stock (missing MSRP additions discussed in paper).</t>
  </si>
  <si>
    <r>
      <t xml:space="preserve">No show at scheduled time.  MSRP was submitted.  </t>
    </r>
    <r>
      <rPr>
        <sz val="12"/>
        <rFont val="Arial"/>
        <family val="2"/>
      </rPr>
      <t xml:space="preserve">MSRP missing component adds like electric starter, catalyst.  Didn't show work, wrong price on base sled, etc.  </t>
    </r>
  </si>
  <si>
    <t>Very good effort for 1st year team.  Possitive discussion for improvements next year.</t>
  </si>
  <si>
    <t>Good justification of sled.  Reasons for adding components, understanding of rules, quality of work needs improvement.</t>
  </si>
  <si>
    <t>PASS</t>
  </si>
  <si>
    <t>FAIL</t>
  </si>
  <si>
    <t>DNS</t>
  </si>
  <si>
    <t>DNF - Did not make speed</t>
  </si>
  <si>
    <t>OK</t>
  </si>
  <si>
    <t>OK (2nd run - sample error 1st)</t>
  </si>
  <si>
    <t>OK (stopped during warm-up lap)</t>
  </si>
  <si>
    <t>DNF - Engine stopped, electrical smoldering</t>
  </si>
  <si>
    <t>DNF - Engine failure - fire</t>
  </si>
  <si>
    <t>OK (2nd run - fuel measurement issue 1st)</t>
  </si>
  <si>
    <t>EVENT WAS NOT PERFORMED</t>
  </si>
  <si>
    <t xml:space="preserve">EQUATION FOR NEXT YEAR! </t>
  </si>
  <si>
    <t>Iowa State</t>
  </si>
  <si>
    <t>Late Abstract</t>
  </si>
  <si>
    <t>Elzinga</t>
  </si>
  <si>
    <t># papers reviews</t>
  </si>
  <si>
    <t>Cancelled Event</t>
  </si>
  <si>
    <t>No data</t>
  </si>
  <si>
    <t>Event Cancelled</t>
  </si>
  <si>
    <t>CSC 2020 LAB EMISSION TEST - SCORING SUMMARY AVL</t>
  </si>
  <si>
    <t>SAE CSC 2020 In Service Emission Testing Results Sensors, Inc.</t>
  </si>
  <si>
    <t>SAE CSC 2020 MSRP Results John Deere, DENSO, BASF</t>
  </si>
  <si>
    <t>E69</t>
  </si>
  <si>
    <t xml:space="preserve">Quietest Snowmobile Winner (PCB) </t>
  </si>
  <si>
    <t>Rookie of the Year</t>
  </si>
  <si>
    <t>MTU, ETS, Idaho, Iowa State, Madison, Maryland</t>
  </si>
  <si>
    <t>Missed Monday Inspection</t>
  </si>
  <si>
    <t>Coolant Leak during Endurance</t>
  </si>
  <si>
    <t>Late Inspection and Broken Steering</t>
  </si>
  <si>
    <t>Fire Extinguisher fell off sled
Repair after Inspection</t>
  </si>
  <si>
    <t>Lat for Inspection 
Failed thermal in Inspeciton</t>
  </si>
  <si>
    <t>Fuel Leak in belly pan</t>
  </si>
  <si>
    <t>Failed Inspection - overheat</t>
  </si>
  <si>
    <t>Late for inspection
Fuel Leal
Electrical issue</t>
  </si>
  <si>
    <t>Engine Failure</t>
  </si>
  <si>
    <t>Battery Failure</t>
  </si>
  <si>
    <t>No inspection</t>
  </si>
  <si>
    <t>ETS</t>
  </si>
  <si>
    <t>Mahle Best Engine Design Innovation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</si>
</sst>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quot;$&quot;#,##0.00"/>
    <numFmt numFmtId="166" formatCode="0.000"/>
    <numFmt numFmtId="167" formatCode="0.0%"/>
    <numFmt numFmtId="168" formatCode="\$#,##0.00"/>
    <numFmt numFmtId="169" formatCode="0.000000"/>
    <numFmt numFmtId="170" formatCode="0.0000"/>
  </numFmts>
  <fonts count="1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10"/>
      <name val="Arial"/>
      <family val="2"/>
    </font>
    <font>
      <b/>
      <sz val="10"/>
      <color indexed="8"/>
      <name val="Arial"/>
      <family val="2"/>
    </font>
    <font>
      <sz val="10"/>
      <color indexed="8"/>
      <name val="Arial"/>
      <family val="2"/>
    </font>
    <font>
      <b/>
      <i/>
      <sz val="14"/>
      <name val="Arial"/>
      <family val="2"/>
    </font>
    <font>
      <sz val="12"/>
      <name val="Arial"/>
      <family val="2"/>
    </font>
    <font>
      <sz val="10"/>
      <color indexed="14"/>
      <name val="Arial"/>
      <family val="2"/>
    </font>
    <font>
      <i/>
      <sz val="9"/>
      <name val="Arial"/>
      <family val="2"/>
    </font>
    <font>
      <sz val="10"/>
      <color indexed="53"/>
      <name val="Arial"/>
      <family val="2"/>
    </font>
    <font>
      <b/>
      <sz val="10"/>
      <color indexed="53"/>
      <name val="Arial"/>
      <family val="2"/>
    </font>
    <font>
      <sz val="10"/>
      <color indexed="10"/>
      <name val="Arial"/>
      <family val="2"/>
    </font>
    <font>
      <sz val="8"/>
      <name val="Arial"/>
      <family val="2"/>
    </font>
    <font>
      <b/>
      <sz val="10"/>
      <color indexed="10"/>
      <name val="Arial"/>
      <family val="2"/>
    </font>
    <font>
      <b/>
      <i/>
      <sz val="9"/>
      <name val="Arial"/>
      <family val="2"/>
    </font>
    <font>
      <strike/>
      <sz val="10"/>
      <name val="Arial"/>
      <family val="2"/>
    </font>
    <font>
      <sz val="11"/>
      <name val="Times New Roman"/>
      <family val="1"/>
    </font>
    <font>
      <b/>
      <sz val="11"/>
      <name val="Times New Roman"/>
      <family val="1"/>
    </font>
    <font>
      <b/>
      <sz val="10"/>
      <color rgb="FFFF0000"/>
      <name val="Arial"/>
      <family val="2"/>
    </font>
    <font>
      <sz val="10"/>
      <color rgb="FFFF0000"/>
      <name val="Arial"/>
      <family val="2"/>
    </font>
    <font>
      <b/>
      <sz val="16"/>
      <color rgb="FFFF0000"/>
      <name val="Arial"/>
      <family val="2"/>
    </font>
    <font>
      <sz val="10"/>
      <color rgb="FFFF0000"/>
      <name val="Arial"/>
      <family val="2"/>
    </font>
    <font>
      <sz val="11"/>
      <name val="Calibri"/>
      <family val="2"/>
      <scheme val="minor"/>
    </font>
    <font>
      <sz val="11"/>
      <color rgb="FF9C0006"/>
      <name val="Calibri"/>
      <family val="2"/>
      <scheme val="minor"/>
    </font>
    <font>
      <sz val="10"/>
      <name val="Arial"/>
      <family val="2"/>
    </font>
    <font>
      <sz val="11"/>
      <color rgb="FFFF0000"/>
      <name val="Calibri"/>
      <family val="2"/>
      <scheme val="minor"/>
    </font>
    <font>
      <sz val="10"/>
      <color theme="1"/>
      <name val="Arial"/>
      <family val="2"/>
    </font>
    <font>
      <b/>
      <sz val="10"/>
      <color theme="1"/>
      <name val="Arial"/>
      <family val="2"/>
    </font>
    <font>
      <b/>
      <sz val="14"/>
      <color rgb="FFFF0000"/>
      <name val="Arial"/>
      <family val="2"/>
    </font>
    <font>
      <b/>
      <sz val="11"/>
      <name val="Arial"/>
      <family val="2"/>
    </font>
    <font>
      <b/>
      <sz val="10"/>
      <name val="Calibri"/>
      <family val="2"/>
      <scheme val="minor"/>
    </font>
    <font>
      <sz val="10"/>
      <name val="Calibri"/>
      <family val="2"/>
      <scheme val="minor"/>
    </font>
    <font>
      <sz val="10"/>
      <color rgb="FFFF0000"/>
      <name val="Calibri"/>
      <family val="2"/>
      <scheme val="minor"/>
    </font>
    <font>
      <sz val="10"/>
      <color indexed="10"/>
      <name val="Calibri"/>
      <family val="2"/>
      <scheme val="minor"/>
    </font>
    <font>
      <b/>
      <sz val="10"/>
      <color rgb="FF000000"/>
      <name val="Arial"/>
      <family val="2"/>
    </font>
    <font>
      <u/>
      <sz val="10"/>
      <color theme="10"/>
      <name val="Arial"/>
      <family val="2"/>
    </font>
    <font>
      <b/>
      <sz val="11"/>
      <color rgb="FFFF0000"/>
      <name val="Calibri"/>
      <family val="2"/>
      <scheme val="minor"/>
    </font>
    <font>
      <b/>
      <sz val="14"/>
      <name val="Arial"/>
      <family val="2"/>
    </font>
    <font>
      <sz val="14"/>
      <name val="Arial"/>
      <family val="2"/>
    </font>
    <font>
      <sz val="16"/>
      <name val="Arial"/>
      <family val="2"/>
    </font>
    <font>
      <sz val="11"/>
      <name val="Arial"/>
      <family val="2"/>
    </font>
    <font>
      <b/>
      <sz val="12"/>
      <name val="Arial"/>
      <family val="2"/>
    </font>
    <font>
      <sz val="14"/>
      <name val="Calibri"/>
      <family val="2"/>
      <scheme val="minor"/>
    </font>
    <font>
      <sz val="14"/>
      <color indexed="8"/>
      <name val="Arial"/>
      <family val="2"/>
    </font>
    <font>
      <u/>
      <sz val="10"/>
      <color theme="10"/>
      <name val="Arial"/>
      <family val="2"/>
    </font>
    <font>
      <sz val="9"/>
      <name val="Arial"/>
      <family val="2"/>
    </font>
    <font>
      <b/>
      <sz val="12"/>
      <color theme="1"/>
      <name val="Arial"/>
      <family val="2"/>
    </font>
    <font>
      <b/>
      <sz val="10"/>
      <color rgb="FFFFC000"/>
      <name val="Arial"/>
      <family val="2"/>
    </font>
    <font>
      <b/>
      <sz val="12"/>
      <color rgb="FF00B050"/>
      <name val="Arial"/>
      <family val="2"/>
    </font>
    <font>
      <b/>
      <sz val="14"/>
      <color indexed="8"/>
      <name val="Arial"/>
      <family val="2"/>
    </font>
    <font>
      <sz val="14"/>
      <color rgb="FFFF0000"/>
      <name val="Arial"/>
      <family val="2"/>
    </font>
    <font>
      <b/>
      <sz val="12"/>
      <name val="Calibri"/>
      <family val="2"/>
      <scheme val="minor"/>
    </font>
    <font>
      <b/>
      <sz val="12"/>
      <color indexed="8"/>
      <name val="Arial"/>
      <family val="2"/>
    </font>
    <font>
      <sz val="12"/>
      <color indexed="8"/>
      <name val="Arial"/>
      <family val="2"/>
    </font>
    <font>
      <sz val="12"/>
      <color rgb="FFFF0000"/>
      <name val="Arial"/>
      <family val="2"/>
    </font>
    <font>
      <sz val="22"/>
      <name val="Arial"/>
      <family val="2"/>
    </font>
    <font>
      <b/>
      <sz val="22"/>
      <color indexed="8"/>
      <name val="Arial"/>
      <family val="2"/>
    </font>
    <font>
      <b/>
      <sz val="22"/>
      <color rgb="FF0070C0"/>
      <name val="Arial"/>
      <family val="2"/>
    </font>
    <font>
      <sz val="22"/>
      <name val="Calibri"/>
      <family val="2"/>
    </font>
    <font>
      <sz val="22"/>
      <name val="Calibri"/>
      <family val="2"/>
      <scheme val="minor"/>
    </font>
    <font>
      <b/>
      <sz val="22"/>
      <name val="Arial"/>
      <family val="2"/>
    </font>
    <font>
      <sz val="22"/>
      <color indexed="8"/>
      <name val="Arial"/>
      <family val="2"/>
    </font>
    <font>
      <sz val="22"/>
      <color rgb="FF0070C0"/>
      <name val="Arial"/>
      <family val="2"/>
    </font>
    <font>
      <sz val="22"/>
      <color rgb="FFFF0000"/>
      <name val="Arial"/>
      <family val="2"/>
    </font>
    <font>
      <sz val="12"/>
      <color indexed="10"/>
      <name val="Arial"/>
      <family val="2"/>
    </font>
    <font>
      <sz val="12"/>
      <color indexed="12"/>
      <name val="Arial"/>
      <family val="2"/>
    </font>
    <font>
      <sz val="14"/>
      <color indexed="10"/>
      <name val="Arial"/>
      <family val="2"/>
    </font>
    <font>
      <b/>
      <sz val="14"/>
      <name val="Calibri"/>
      <family val="2"/>
      <scheme val="minor"/>
    </font>
    <font>
      <sz val="14"/>
      <color rgb="FF000000"/>
      <name val="Arial"/>
      <family val="2"/>
    </font>
    <font>
      <sz val="14"/>
      <color indexed="53"/>
      <name val="Arial"/>
      <family val="2"/>
    </font>
    <font>
      <b/>
      <sz val="14"/>
      <color indexed="53"/>
      <name val="Arial"/>
      <family val="2"/>
    </font>
    <font>
      <sz val="12"/>
      <name val="Calibri"/>
      <family val="2"/>
    </font>
    <font>
      <b/>
      <sz val="12"/>
      <color rgb="FFFF0000"/>
      <name val="Arial"/>
      <family val="2"/>
    </font>
    <font>
      <sz val="10"/>
      <color rgb="FF000000"/>
      <name val="Arial"/>
      <family val="2"/>
    </font>
    <font>
      <sz val="10"/>
      <color rgb="FF000000"/>
      <name val="Arial"/>
      <family val="2"/>
    </font>
    <font>
      <b/>
      <sz val="20"/>
      <name val="Arial"/>
      <family val="2"/>
    </font>
    <font>
      <sz val="10"/>
      <color rgb="FF000000"/>
      <name val="Arial"/>
      <family val="2"/>
    </font>
    <font>
      <sz val="12"/>
      <color theme="1"/>
      <name val="Calibri"/>
      <family val="2"/>
    </font>
    <font>
      <b/>
      <sz val="18"/>
      <color rgb="FFFF0000"/>
      <name val="Arial"/>
      <family val="2"/>
    </font>
    <font>
      <sz val="11"/>
      <color rgb="FF000000"/>
      <name val="Calibri"/>
      <family val="2"/>
    </font>
    <font>
      <b/>
      <sz val="9"/>
      <name val="Arial"/>
      <family val="2"/>
    </font>
    <font>
      <sz val="9"/>
      <color rgb="FFFF0000"/>
      <name val="Arial"/>
      <family val="2"/>
    </font>
    <font>
      <b/>
      <sz val="9"/>
      <color theme="1"/>
      <name val="Arial"/>
      <family val="2"/>
    </font>
    <font>
      <sz val="9"/>
      <name val="Calibri"/>
      <family val="2"/>
      <scheme val="minor"/>
    </font>
    <font>
      <b/>
      <sz val="9"/>
      <color rgb="FFFF0000"/>
      <name val="Arial"/>
      <family val="2"/>
    </font>
    <font>
      <sz val="9"/>
      <color rgb="FF00B050"/>
      <name val="Arial"/>
      <family val="2"/>
    </font>
    <font>
      <i/>
      <u/>
      <sz val="9"/>
      <name val="Arial"/>
      <family val="2"/>
    </font>
    <font>
      <b/>
      <sz val="9"/>
      <color rgb="FF7030A0"/>
      <name val="Arial"/>
      <family val="2"/>
    </font>
    <font>
      <b/>
      <sz val="9"/>
      <color rgb="FFC00000"/>
      <name val="Arial"/>
      <family val="2"/>
    </font>
    <font>
      <b/>
      <sz val="9"/>
      <color rgb="FF000000"/>
      <name val="Arial"/>
      <family val="2"/>
    </font>
    <font>
      <b/>
      <sz val="9"/>
      <color indexed="8"/>
      <name val="Arial"/>
      <family val="2"/>
    </font>
    <font>
      <sz val="9"/>
      <color indexed="10"/>
      <name val="Arial"/>
      <family val="2"/>
    </font>
    <font>
      <b/>
      <sz val="9"/>
      <color indexed="10"/>
      <name val="Arial"/>
      <family val="2"/>
    </font>
    <font>
      <sz val="9"/>
      <color theme="1"/>
      <name val="Arial"/>
      <family val="2"/>
    </font>
    <font>
      <sz val="9"/>
      <color rgb="FF222222"/>
      <name val="Arial"/>
      <family val="2"/>
    </font>
    <font>
      <b/>
      <sz val="11"/>
      <color theme="1"/>
      <name val="Arial"/>
      <family val="2"/>
    </font>
  </fonts>
  <fills count="7">
    <fill>
      <patternFill patternType="none"/>
    </fill>
    <fill>
      <patternFill patternType="gray125"/>
    </fill>
    <fill>
      <patternFill patternType="solid">
        <fgColor rgb="FFFFC7CE"/>
      </patternFill>
    </fill>
    <fill>
      <patternFill patternType="solid">
        <fgColor rgb="FFFFFFFF"/>
        <bgColor rgb="FF000000"/>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94">
    <xf numFmtId="0" fontId="0" fillId="0" borderId="0"/>
    <xf numFmtId="0" fontId="42" fillId="2" borderId="0" applyNumberFormat="0" applyBorder="0" applyAlignment="0" applyProtection="0"/>
    <xf numFmtId="44" fontId="43" fillId="0" borderId="0" applyFont="0" applyFill="0" applyBorder="0" applyAlignment="0" applyProtection="0"/>
    <xf numFmtId="0" fontId="17" fillId="0" borderId="0"/>
    <xf numFmtId="0" fontId="18" fillId="0" borderId="0"/>
    <xf numFmtId="0" fontId="54" fillId="0" borderId="0" applyNumberFormat="0" applyFill="0" applyBorder="0" applyAlignment="0" applyProtection="0"/>
    <xf numFmtId="44" fontId="18" fillId="0" borderId="0" applyFont="0" applyFill="0" applyBorder="0" applyAlignment="0" applyProtection="0"/>
    <xf numFmtId="0" fontId="16" fillId="0" borderId="0"/>
    <xf numFmtId="0" fontId="15" fillId="0" borderId="0"/>
    <xf numFmtId="0" fontId="14"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1" fillId="0" borderId="0"/>
    <xf numFmtId="0" fontId="63" fillId="0" borderId="0" applyNumberFormat="0" applyFill="0" applyBorder="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applyNumberFormat="0" applyFill="0" applyBorder="0" applyAlignment="0" applyProtection="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2" fillId="0" borderId="0"/>
    <xf numFmtId="0" fontId="93" fillId="0" borderId="0"/>
    <xf numFmtId="0" fontId="18" fillId="0" borderId="0"/>
    <xf numFmtId="0" fontId="42" fillId="2" borderId="0" applyNumberFormat="0" applyBorder="0" applyAlignment="0" applyProtection="0"/>
    <xf numFmtId="44"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cellStyleXfs>
  <cellXfs count="664">
    <xf numFmtId="0" fontId="0" fillId="0" borderId="0" xfId="0"/>
    <xf numFmtId="0" fontId="0" fillId="0" borderId="0" xfId="0" applyBorder="1"/>
    <xf numFmtId="0" fontId="19" fillId="0" borderId="0" xfId="0" applyFont="1" applyAlignment="1">
      <alignment horizontal="center"/>
    </xf>
    <xf numFmtId="0" fontId="0" fillId="0" borderId="0" xfId="0" applyAlignment="1">
      <alignment horizontal="center"/>
    </xf>
    <xf numFmtId="0" fontId="0" fillId="0" borderId="0" xfId="0" applyFill="1" applyBorder="1"/>
    <xf numFmtId="0" fontId="19" fillId="0" borderId="0" xfId="0" applyFont="1" applyAlignment="1" applyProtection="1">
      <alignment horizontal="center"/>
    </xf>
    <xf numFmtId="0" fontId="0" fillId="0" borderId="0" xfId="0" applyProtection="1"/>
    <xf numFmtId="0" fontId="20" fillId="0" borderId="0" xfId="0" applyFont="1" applyProtection="1"/>
    <xf numFmtId="0" fontId="0" fillId="0" borderId="0" xfId="0" applyAlignment="1" applyProtection="1">
      <alignment horizontal="right"/>
    </xf>
    <xf numFmtId="0" fontId="19" fillId="0" borderId="0" xfId="0" applyFont="1" applyProtection="1"/>
    <xf numFmtId="0" fontId="0" fillId="0" borderId="0" xfId="0" applyFill="1" applyBorder="1" applyProtection="1"/>
    <xf numFmtId="0" fontId="19" fillId="0" borderId="0" xfId="0" applyFont="1" applyAlignment="1" applyProtection="1">
      <alignment horizontal="right"/>
    </xf>
    <xf numFmtId="0" fontId="22"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22" fillId="0" borderId="0" xfId="0" applyFont="1" applyFill="1" applyBorder="1" applyProtection="1"/>
    <xf numFmtId="1" fontId="19" fillId="0" borderId="0" xfId="0" applyNumberFormat="1" applyFont="1" applyAlignment="1" applyProtection="1">
      <alignment horizontal="center"/>
    </xf>
    <xf numFmtId="0" fontId="0" fillId="0" borderId="0" xfId="0" applyAlignment="1" applyProtection="1">
      <alignment horizontal="center"/>
    </xf>
    <xf numFmtId="164" fontId="0" fillId="0" borderId="0" xfId="0" applyNumberFormat="1" applyAlignment="1" applyProtection="1">
      <alignment horizontal="right"/>
    </xf>
    <xf numFmtId="0" fontId="22" fillId="0" borderId="0" xfId="0" applyFont="1" applyAlignment="1" applyProtection="1">
      <alignment horizontal="center"/>
    </xf>
    <xf numFmtId="0" fontId="23" fillId="0" borderId="0" xfId="0" applyFont="1" applyFill="1" applyBorder="1"/>
    <xf numFmtId="0" fontId="22" fillId="0" borderId="0" xfId="0" applyFont="1" applyFill="1" applyBorder="1" applyAlignment="1" applyProtection="1">
      <alignment horizontal="center"/>
    </xf>
    <xf numFmtId="0" fontId="23" fillId="0" borderId="0" xfId="0" applyFont="1" applyFill="1" applyBorder="1" applyProtection="1"/>
    <xf numFmtId="0" fontId="23" fillId="0" borderId="0" xfId="0" applyFont="1" applyFill="1" applyBorder="1" applyAlignment="1" applyProtection="1">
      <alignment horizontal="right"/>
    </xf>
    <xf numFmtId="1" fontId="19" fillId="0" borderId="0" xfId="0" applyNumberFormat="1" applyFont="1" applyAlignment="1" applyProtection="1">
      <alignment horizontal="right"/>
    </xf>
    <xf numFmtId="0" fontId="23" fillId="0" borderId="0" xfId="0" applyFont="1" applyAlignment="1" applyProtection="1">
      <alignment horizontal="center"/>
    </xf>
    <xf numFmtId="0" fontId="0" fillId="0" borderId="0" xfId="0" applyFill="1"/>
    <xf numFmtId="164" fontId="0" fillId="0" borderId="0" xfId="0" applyNumberFormat="1" applyFill="1"/>
    <xf numFmtId="1" fontId="23" fillId="0" borderId="0" xfId="0" applyNumberFormat="1" applyFont="1" applyAlignment="1" applyProtection="1">
      <alignment horizontal="center"/>
    </xf>
    <xf numFmtId="0" fontId="19" fillId="0" borderId="0" xfId="0" applyFont="1" applyAlignment="1" applyProtection="1">
      <alignment horizontal="center" wrapText="1"/>
    </xf>
    <xf numFmtId="1" fontId="21" fillId="0" borderId="0" xfId="0" applyNumberFormat="1" applyFont="1" applyAlignment="1" applyProtection="1">
      <alignment horizontal="right"/>
    </xf>
    <xf numFmtId="0" fontId="21" fillId="0" borderId="0" xfId="0" applyFont="1" applyProtection="1"/>
    <xf numFmtId="0" fontId="22" fillId="0" borderId="0" xfId="0" applyFont="1" applyFill="1" applyBorder="1" applyAlignment="1" applyProtection="1">
      <alignment horizontal="center" wrapText="1"/>
    </xf>
    <xf numFmtId="164" fontId="23" fillId="0" borderId="0" xfId="0" applyNumberFormat="1" applyFont="1" applyFill="1" applyBorder="1" applyAlignment="1" applyProtection="1">
      <alignment horizontal="center"/>
    </xf>
    <xf numFmtId="0" fontId="0" fillId="0" borderId="0" xfId="0" applyAlignment="1"/>
    <xf numFmtId="0" fontId="0" fillId="0" borderId="0" xfId="0" applyFill="1" applyAlignment="1">
      <alignment horizontal="center"/>
    </xf>
    <xf numFmtId="0" fontId="23" fillId="0" borderId="0" xfId="0" applyFont="1" applyFill="1"/>
    <xf numFmtId="0" fontId="22" fillId="0" borderId="0" xfId="0" applyFont="1" applyFill="1" applyAlignment="1" applyProtection="1">
      <alignment horizontal="center"/>
    </xf>
    <xf numFmtId="165" fontId="23" fillId="0" borderId="0" xfId="0" applyNumberFormat="1" applyFont="1" applyFill="1" applyBorder="1" applyProtection="1"/>
    <xf numFmtId="165" fontId="0" fillId="0" borderId="0" xfId="0" applyNumberFormat="1" applyFill="1" applyBorder="1"/>
    <xf numFmtId="0" fontId="0" fillId="0" borderId="0" xfId="0" applyBorder="1" applyProtection="1"/>
    <xf numFmtId="0" fontId="23" fillId="0" borderId="0" xfId="0" applyFont="1" applyFill="1" applyBorder="1" applyAlignment="1" applyProtection="1">
      <alignment horizontal="center"/>
    </xf>
    <xf numFmtId="164" fontId="0" fillId="0" borderId="0" xfId="0" applyNumberFormat="1"/>
    <xf numFmtId="0" fontId="19" fillId="0" borderId="0" xfId="0" applyFont="1" applyFill="1" applyBorder="1" applyAlignment="1" applyProtection="1">
      <alignment horizontal="center"/>
    </xf>
    <xf numFmtId="0" fontId="0" fillId="0" borderId="0" xfId="0" applyFill="1" applyBorder="1" applyAlignment="1" applyProtection="1">
      <alignment horizontal="center"/>
    </xf>
    <xf numFmtId="164" fontId="19" fillId="0" borderId="0" xfId="0" applyNumberFormat="1" applyFont="1" applyAlignment="1" applyProtection="1">
      <alignment horizontal="center"/>
    </xf>
    <xf numFmtId="164" fontId="21" fillId="0" borderId="0" xfId="0" applyNumberFormat="1" applyFont="1" applyAlignment="1" applyProtection="1">
      <alignment horizontal="center"/>
    </xf>
    <xf numFmtId="0" fontId="0" fillId="0" borderId="0" xfId="0" applyBorder="1" applyAlignment="1">
      <alignment horizontal="center"/>
    </xf>
    <xf numFmtId="164" fontId="22" fillId="0" borderId="0" xfId="0" applyNumberFormat="1" applyFont="1" applyFill="1" applyBorder="1" applyAlignment="1" applyProtection="1">
      <alignment horizontal="center"/>
    </xf>
    <xf numFmtId="0" fontId="27" fillId="0" borderId="0" xfId="0" applyFont="1"/>
    <xf numFmtId="0" fontId="21" fillId="0" borderId="0" xfId="0" applyFont="1"/>
    <xf numFmtId="0" fontId="21" fillId="0" borderId="0" xfId="0" applyFont="1" applyAlignment="1" applyProtection="1">
      <alignment horizontal="right"/>
    </xf>
    <xf numFmtId="2" fontId="0" fillId="0" borderId="0" xfId="0" applyNumberFormat="1" applyProtection="1"/>
    <xf numFmtId="164" fontId="19" fillId="0" borderId="0" xfId="0" applyNumberFormat="1" applyFont="1" applyBorder="1" applyAlignment="1" applyProtection="1">
      <alignment horizontal="center"/>
    </xf>
    <xf numFmtId="0" fontId="0" fillId="0" borderId="0" xfId="0" applyBorder="1" applyAlignment="1" applyProtection="1">
      <alignment horizontal="center"/>
    </xf>
    <xf numFmtId="0" fontId="23" fillId="0" borderId="0" xfId="0" quotePrefix="1" applyFont="1" applyFill="1" applyBorder="1" applyAlignment="1" applyProtection="1">
      <alignment horizontal="center"/>
    </xf>
    <xf numFmtId="0" fontId="22" fillId="0" borderId="0" xfId="0" applyFont="1" applyFill="1" applyBorder="1" applyAlignment="1" applyProtection="1">
      <alignment wrapText="1"/>
    </xf>
    <xf numFmtId="0" fontId="22" fillId="0" borderId="0" xfId="0" applyFont="1" applyAlignment="1" applyProtection="1">
      <alignment horizontal="left"/>
    </xf>
    <xf numFmtId="1" fontId="21" fillId="0" borderId="0" xfId="0" applyNumberFormat="1" applyFont="1" applyAlignment="1" applyProtection="1">
      <alignment horizontal="center"/>
    </xf>
    <xf numFmtId="165" fontId="21" fillId="0" borderId="0" xfId="0" applyNumberFormat="1" applyFont="1" applyProtection="1"/>
    <xf numFmtId="0" fontId="28" fillId="0" borderId="0" xfId="0" applyFont="1" applyProtection="1"/>
    <xf numFmtId="0" fontId="28" fillId="0" borderId="0" xfId="0" applyFont="1" applyAlignment="1" applyProtection="1"/>
    <xf numFmtId="0" fontId="28" fillId="0" borderId="0" xfId="0" applyFont="1" applyBorder="1" applyAlignment="1" applyProtection="1"/>
    <xf numFmtId="0" fontId="28" fillId="0" borderId="0" xfId="0" applyFont="1" applyBorder="1" applyProtection="1"/>
    <xf numFmtId="0" fontId="28" fillId="0" borderId="0" xfId="0" applyFont="1" applyBorder="1"/>
    <xf numFmtId="0" fontId="28" fillId="0" borderId="0" xfId="0" applyFont="1" applyBorder="1" applyAlignment="1">
      <alignment horizontal="center"/>
    </xf>
    <xf numFmtId="0" fontId="28" fillId="0" borderId="0" xfId="0" applyFont="1" applyFill="1" applyBorder="1" applyProtection="1"/>
    <xf numFmtId="0" fontId="28" fillId="0" borderId="0" xfId="0" applyFont="1" applyFill="1" applyBorder="1" applyAlignment="1" applyProtection="1">
      <alignment horizontal="center"/>
    </xf>
    <xf numFmtId="0" fontId="28" fillId="0" borderId="0" xfId="0" applyFont="1" applyFill="1" applyBorder="1" applyAlignment="1" applyProtection="1"/>
    <xf numFmtId="0" fontId="29" fillId="0" borderId="0" xfId="0" applyFont="1" applyFill="1" applyBorder="1" applyAlignment="1" applyProtection="1">
      <alignment horizontal="center"/>
    </xf>
    <xf numFmtId="0" fontId="29" fillId="0" borderId="0" xfId="0" applyFont="1" applyFill="1" applyBorder="1" applyAlignment="1" applyProtection="1"/>
    <xf numFmtId="0" fontId="28" fillId="0" borderId="0" xfId="0" applyFont="1"/>
    <xf numFmtId="0" fontId="28" fillId="0" borderId="0" xfId="0" applyFont="1" applyAlignment="1">
      <alignment horizontal="center"/>
    </xf>
    <xf numFmtId="164" fontId="28" fillId="0" borderId="0" xfId="0" applyNumberFormat="1" applyFont="1" applyFill="1" applyBorder="1" applyAlignment="1" applyProtection="1">
      <alignment horizontal="center"/>
    </xf>
    <xf numFmtId="0" fontId="28" fillId="0" borderId="0" xfId="0" applyFont="1" applyAlignment="1"/>
    <xf numFmtId="2" fontId="28" fillId="0" borderId="0" xfId="0" applyNumberFormat="1" applyFont="1" applyFill="1" applyBorder="1" applyAlignment="1" applyProtection="1">
      <alignment horizontal="center"/>
    </xf>
    <xf numFmtId="2" fontId="29" fillId="0" borderId="0" xfId="0" applyNumberFormat="1" applyFont="1" applyFill="1" applyBorder="1" applyAlignment="1" applyProtection="1">
      <alignment horizontal="center"/>
    </xf>
    <xf numFmtId="166" fontId="29" fillId="0" borderId="0" xfId="0" applyNumberFormat="1" applyFont="1" applyFill="1" applyBorder="1" applyAlignment="1" applyProtection="1">
      <alignment horizontal="center"/>
    </xf>
    <xf numFmtId="0" fontId="28" fillId="0" borderId="0" xfId="0" applyFont="1" applyFill="1" applyAlignment="1">
      <alignment horizontal="center"/>
    </xf>
    <xf numFmtId="0" fontId="29" fillId="0" borderId="0" xfId="0" applyFont="1" applyProtection="1"/>
    <xf numFmtId="2" fontId="29"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66" fontId="28" fillId="0" borderId="0" xfId="0" applyNumberFormat="1" applyFont="1" applyFill="1" applyBorder="1" applyAlignment="1" applyProtection="1">
      <alignment horizontal="center"/>
    </xf>
    <xf numFmtId="14" fontId="28" fillId="0" borderId="0" xfId="0" applyNumberFormat="1" applyFont="1" applyBorder="1" applyAlignment="1">
      <alignment horizontal="center"/>
    </xf>
    <xf numFmtId="0" fontId="28" fillId="0" borderId="0" xfId="0" applyFont="1" applyFill="1" applyBorder="1" applyAlignment="1">
      <alignment horizontal="center"/>
    </xf>
    <xf numFmtId="0" fontId="28" fillId="0" borderId="0" xfId="0" applyFont="1" applyBorder="1" applyAlignment="1" applyProtection="1">
      <alignment horizontal="center"/>
    </xf>
    <xf numFmtId="0" fontId="23" fillId="0" borderId="0" xfId="0" applyFont="1" applyAlignment="1" applyProtection="1"/>
    <xf numFmtId="0" fontId="23" fillId="0" borderId="0" xfId="0" applyFont="1" applyFill="1" applyBorder="1" applyAlignment="1" applyProtection="1"/>
    <xf numFmtId="0" fontId="22" fillId="0" borderId="0" xfId="0" applyFont="1" applyFill="1" applyBorder="1" applyAlignment="1" applyProtection="1"/>
    <xf numFmtId="0" fontId="23" fillId="0" borderId="0" xfId="0" applyFont="1" applyFill="1" applyBorder="1" applyAlignment="1" applyProtection="1">
      <alignment horizontal="center" wrapText="1"/>
    </xf>
    <xf numFmtId="165" fontId="22" fillId="0" borderId="0" xfId="0" applyNumberFormat="1" applyFont="1" applyFill="1" applyBorder="1" applyProtection="1"/>
    <xf numFmtId="0" fontId="19" fillId="0" borderId="0" xfId="0" applyFont="1"/>
    <xf numFmtId="0" fontId="21" fillId="0" borderId="0" xfId="0" applyFont="1" applyAlignment="1" applyProtection="1">
      <alignment horizontal="center"/>
    </xf>
    <xf numFmtId="0" fontId="30" fillId="0" borderId="0" xfId="0" applyFont="1" applyProtection="1"/>
    <xf numFmtId="0" fontId="30" fillId="0" borderId="0" xfId="0" applyFont="1"/>
    <xf numFmtId="0" fontId="30" fillId="0" borderId="0" xfId="0" applyFont="1" applyAlignment="1" applyProtection="1">
      <alignment horizontal="center"/>
    </xf>
    <xf numFmtId="0" fontId="30" fillId="0" borderId="0" xfId="0" applyFont="1" applyFill="1" applyBorder="1" applyAlignment="1" applyProtection="1">
      <alignment horizontal="center"/>
    </xf>
    <xf numFmtId="0" fontId="30" fillId="0" borderId="0" xfId="0" applyFont="1" applyFill="1" applyBorder="1" applyAlignment="1" applyProtection="1">
      <alignment horizontal="right"/>
    </xf>
    <xf numFmtId="1" fontId="32" fillId="0" borderId="0" xfId="0" applyNumberFormat="1" applyFont="1" applyAlignment="1" applyProtection="1">
      <alignment horizontal="right"/>
    </xf>
    <xf numFmtId="0" fontId="0" fillId="0" borderId="0" xfId="0" applyAlignment="1">
      <alignment wrapText="1"/>
    </xf>
    <xf numFmtId="0" fontId="33" fillId="0" borderId="0" xfId="0" applyFont="1" applyAlignment="1" applyProtection="1">
      <alignment horizontal="center" wrapText="1"/>
    </xf>
    <xf numFmtId="0" fontId="21" fillId="0" borderId="0" xfId="0" applyFont="1" applyAlignment="1">
      <alignment horizontal="center"/>
    </xf>
    <xf numFmtId="0" fontId="21" fillId="0" borderId="0" xfId="0" applyFont="1" applyFill="1" applyBorder="1" applyAlignment="1">
      <alignment horizontal="center"/>
    </xf>
    <xf numFmtId="0" fontId="18" fillId="0" borderId="0" xfId="0" applyFont="1"/>
    <xf numFmtId="2" fontId="21" fillId="0" borderId="0" xfId="0" applyNumberFormat="1" applyFont="1" applyFill="1" applyBorder="1" applyAlignment="1" applyProtection="1">
      <alignment horizontal="center"/>
    </xf>
    <xf numFmtId="1" fontId="19" fillId="0" borderId="0" xfId="0" applyNumberFormat="1" applyFont="1" applyBorder="1" applyAlignment="1" applyProtection="1">
      <alignment horizontal="center"/>
    </xf>
    <xf numFmtId="164" fontId="19" fillId="0" borderId="0" xfId="0" applyNumberFormat="1" applyFont="1" applyBorder="1" applyAlignment="1" applyProtection="1">
      <alignment horizontal="right"/>
    </xf>
    <xf numFmtId="164" fontId="23" fillId="0" borderId="0" xfId="0" applyNumberFormat="1" applyFont="1" applyFill="1"/>
    <xf numFmtId="0" fontId="35" fillId="0" borderId="0" xfId="0" applyFont="1" applyAlignment="1">
      <alignment horizontal="justify"/>
    </xf>
    <xf numFmtId="2" fontId="28" fillId="0" borderId="0" xfId="0" applyNumberFormat="1" applyFont="1" applyFill="1" applyBorder="1" applyAlignment="1" applyProtection="1">
      <alignment horizontal="left"/>
    </xf>
    <xf numFmtId="0" fontId="21" fillId="0" borderId="0" xfId="0" applyFont="1" applyAlignment="1"/>
    <xf numFmtId="0" fontId="34" fillId="0" borderId="0" xfId="0" applyFont="1" applyAlignment="1">
      <alignment horizontal="center"/>
    </xf>
    <xf numFmtId="0" fontId="21" fillId="0" borderId="0" xfId="0" applyFont="1" applyFill="1" applyAlignment="1">
      <alignment horizontal="center"/>
    </xf>
    <xf numFmtId="0" fontId="21" fillId="0" borderId="0" xfId="0" applyFont="1" applyFill="1" applyBorder="1" applyAlignment="1" applyProtection="1">
      <alignment horizontal="center"/>
    </xf>
    <xf numFmtId="0" fontId="21" fillId="0" borderId="0" xfId="0" applyFont="1" applyAlignment="1" applyProtection="1">
      <alignment horizontal="left"/>
    </xf>
    <xf numFmtId="2" fontId="21" fillId="0" borderId="0" xfId="0" applyNumberFormat="1" applyFont="1" applyAlignment="1" applyProtection="1">
      <alignment horizontal="left"/>
    </xf>
    <xf numFmtId="0" fontId="0" fillId="0" borderId="0" xfId="0" applyFill="1" applyBorder="1" applyAlignment="1" applyProtection="1">
      <alignment horizontal="left"/>
    </xf>
    <xf numFmtId="1" fontId="0" fillId="0" borderId="0" xfId="0" applyNumberFormat="1"/>
    <xf numFmtId="1" fontId="21" fillId="0" borderId="0" xfId="0" applyNumberFormat="1" applyFont="1" applyProtection="1"/>
    <xf numFmtId="1" fontId="0" fillId="0" borderId="0" xfId="0" applyNumberFormat="1" applyBorder="1"/>
    <xf numFmtId="0" fontId="21" fillId="0" borderId="0" xfId="0" applyFont="1" applyBorder="1" applyAlignment="1">
      <alignment horizontal="left" wrapText="1"/>
    </xf>
    <xf numFmtId="1" fontId="37" fillId="0" borderId="0" xfId="0" applyNumberFormat="1" applyFont="1" applyAlignment="1" applyProtection="1">
      <alignment horizontal="right"/>
    </xf>
    <xf numFmtId="0" fontId="37" fillId="0" borderId="0" xfId="0" applyFont="1" applyProtection="1"/>
    <xf numFmtId="0" fontId="38" fillId="0" borderId="0" xfId="0" applyFont="1"/>
    <xf numFmtId="0" fontId="38" fillId="0" borderId="0" xfId="0" applyFont="1" applyProtection="1"/>
    <xf numFmtId="0" fontId="19" fillId="0" borderId="0" xfId="0" applyFont="1" applyFill="1" applyBorder="1" applyAlignment="1" applyProtection="1">
      <alignment horizontal="center" wrapText="1"/>
    </xf>
    <xf numFmtId="0" fontId="18" fillId="0" borderId="0" xfId="0" applyFont="1" applyFill="1" applyAlignment="1">
      <alignment horizontal="center"/>
    </xf>
    <xf numFmtId="0" fontId="38" fillId="0" borderId="0" xfId="0" applyFont="1" applyAlignment="1" applyProtection="1">
      <alignment horizontal="center"/>
    </xf>
    <xf numFmtId="0" fontId="38" fillId="0" borderId="0" xfId="0" applyFont="1" applyFill="1" applyBorder="1" applyAlignment="1" applyProtection="1">
      <alignment horizontal="center"/>
    </xf>
    <xf numFmtId="0" fontId="38" fillId="0" borderId="0" xfId="0" applyFont="1" applyFill="1" applyBorder="1" applyAlignment="1" applyProtection="1">
      <alignment horizontal="right"/>
    </xf>
    <xf numFmtId="0" fontId="18" fillId="0" borderId="0" xfId="0" applyFont="1" applyAlignment="1">
      <alignment horizontal="center"/>
    </xf>
    <xf numFmtId="0" fontId="18" fillId="0" borderId="0" xfId="0" applyFont="1" applyAlignment="1"/>
    <xf numFmtId="0" fontId="39" fillId="0" borderId="0" xfId="0" applyFont="1" applyFill="1" applyBorder="1"/>
    <xf numFmtId="0" fontId="18" fillId="0" borderId="0" xfId="0" applyFont="1" applyProtection="1"/>
    <xf numFmtId="164" fontId="18" fillId="0" borderId="0" xfId="0" applyNumberFormat="1" applyFont="1" applyAlignment="1" applyProtection="1">
      <alignment horizontal="center"/>
    </xf>
    <xf numFmtId="0" fontId="40" fillId="0" borderId="0" xfId="0" applyFont="1" applyProtection="1"/>
    <xf numFmtId="0" fontId="40" fillId="0" borderId="0" xfId="0" applyFont="1"/>
    <xf numFmtId="1" fontId="18" fillId="0" borderId="0" xfId="0" applyNumberFormat="1" applyFont="1" applyAlignment="1" applyProtection="1">
      <alignment horizontal="center"/>
    </xf>
    <xf numFmtId="1" fontId="18" fillId="0" borderId="0" xfId="0" applyNumberFormat="1" applyFont="1" applyAlignment="1">
      <alignment horizontal="center"/>
    </xf>
    <xf numFmtId="1" fontId="18" fillId="0" borderId="0" xfId="0" applyNumberFormat="1" applyFont="1"/>
    <xf numFmtId="164" fontId="18" fillId="0" borderId="0" xfId="0" applyNumberFormat="1" applyFont="1"/>
    <xf numFmtId="164" fontId="18" fillId="0" borderId="0" xfId="0" applyNumberFormat="1" applyFont="1" applyAlignment="1" applyProtection="1">
      <alignment horizontal="right"/>
    </xf>
    <xf numFmtId="0" fontId="34" fillId="0" borderId="0" xfId="0" applyFont="1" applyFill="1" applyBorder="1" applyAlignment="1">
      <alignment horizontal="center"/>
    </xf>
    <xf numFmtId="0" fontId="18" fillId="0" borderId="0" xfId="0" applyFont="1" applyFill="1" applyBorder="1" applyAlignment="1" applyProtection="1">
      <alignment horizontal="center"/>
    </xf>
    <xf numFmtId="0" fontId="18" fillId="0" borderId="0" xfId="0" applyFont="1" applyAlignment="1" applyProtection="1">
      <alignment horizontal="center"/>
    </xf>
    <xf numFmtId="0" fontId="28" fillId="0" borderId="0" xfId="0" applyNumberFormat="1" applyFont="1" applyFill="1" applyBorder="1" applyAlignment="1" applyProtection="1">
      <alignment horizontal="center"/>
    </xf>
    <xf numFmtId="0" fontId="29" fillId="0" borderId="0" xfId="0" applyNumberFormat="1" applyFont="1" applyFill="1" applyBorder="1" applyAlignment="1" applyProtection="1">
      <alignment horizontal="center"/>
    </xf>
    <xf numFmtId="0" fontId="28" fillId="0" borderId="0" xfId="0" applyNumberFormat="1" applyFont="1" applyFill="1" applyBorder="1" applyAlignment="1">
      <alignment horizontal="center"/>
    </xf>
    <xf numFmtId="0" fontId="28" fillId="0" borderId="0" xfId="0" applyNumberFormat="1" applyFont="1" applyBorder="1" applyAlignment="1">
      <alignment horizontal="center"/>
    </xf>
    <xf numFmtId="0" fontId="28" fillId="0" borderId="0" xfId="0" applyNumberFormat="1" applyFont="1" applyAlignment="1">
      <alignment horizontal="center"/>
    </xf>
    <xf numFmtId="0" fontId="28" fillId="0" borderId="0" xfId="0" applyNumberFormat="1" applyFont="1"/>
    <xf numFmtId="0" fontId="0" fillId="0" borderId="0" xfId="0" applyNumberFormat="1"/>
    <xf numFmtId="164" fontId="21" fillId="0" borderId="0" xfId="0" applyNumberFormat="1" applyFont="1" applyFill="1" applyAlignment="1" applyProtection="1">
      <alignment horizontal="center"/>
    </xf>
    <xf numFmtId="165" fontId="23" fillId="0" borderId="0" xfId="0" applyNumberFormat="1" applyFont="1" applyFill="1" applyBorder="1" applyAlignment="1" applyProtection="1">
      <alignment horizontal="center"/>
    </xf>
    <xf numFmtId="165" fontId="0" fillId="0" borderId="0" xfId="0" applyNumberFormat="1" applyFill="1" applyBorder="1" applyAlignment="1">
      <alignment horizontal="center"/>
    </xf>
    <xf numFmtId="165" fontId="42" fillId="0" borderId="0" xfId="1" applyNumberFormat="1" applyFill="1" applyBorder="1" applyProtection="1"/>
    <xf numFmtId="1" fontId="23" fillId="0" borderId="0" xfId="0" applyNumberFormat="1" applyFont="1" applyFill="1" applyBorder="1" applyAlignment="1" applyProtection="1">
      <alignment horizontal="center"/>
    </xf>
    <xf numFmtId="44" fontId="23" fillId="0" borderId="0" xfId="2" applyFont="1" applyFill="1" applyBorder="1" applyAlignment="1" applyProtection="1">
      <alignment horizontal="center"/>
    </xf>
    <xf numFmtId="44" fontId="0" fillId="0" borderId="0" xfId="2" applyFont="1"/>
    <xf numFmtId="169" fontId="23" fillId="0" borderId="0" xfId="0" applyNumberFormat="1" applyFont="1" applyFill="1" applyBorder="1" applyAlignment="1" applyProtection="1">
      <alignment horizontal="center"/>
    </xf>
    <xf numFmtId="0" fontId="18" fillId="0" borderId="0" xfId="0" applyFont="1"/>
    <xf numFmtId="0" fontId="18" fillId="0" borderId="0" xfId="0" applyFont="1" applyAlignment="1">
      <alignment horizontal="center"/>
    </xf>
    <xf numFmtId="0" fontId="47" fillId="0" borderId="0" xfId="0" applyFont="1"/>
    <xf numFmtId="1" fontId="38" fillId="0" borderId="0" xfId="0" applyNumberFormat="1" applyFont="1" applyAlignment="1">
      <alignment horizontal="center"/>
    </xf>
    <xf numFmtId="165" fontId="18" fillId="0" borderId="0" xfId="0" applyNumberFormat="1" applyFont="1" applyFill="1" applyBorder="1" applyProtection="1"/>
    <xf numFmtId="2" fontId="18" fillId="0" borderId="0" xfId="0" applyNumberFormat="1" applyFont="1"/>
    <xf numFmtId="165" fontId="41" fillId="0" borderId="0" xfId="1" applyNumberFormat="1" applyFont="1" applyFill="1" applyBorder="1" applyProtection="1"/>
    <xf numFmtId="164" fontId="19" fillId="0" borderId="2" xfId="0" applyNumberFormat="1" applyFont="1" applyBorder="1" applyAlignment="1" applyProtection="1">
      <alignment horizontal="center"/>
    </xf>
    <xf numFmtId="0" fontId="37" fillId="0" borderId="0" xfId="0" applyFont="1" applyFill="1" applyBorder="1" applyProtection="1"/>
    <xf numFmtId="0" fontId="24" fillId="0" borderId="0" xfId="0" applyFont="1" applyAlignment="1">
      <alignment horizontal="left"/>
    </xf>
    <xf numFmtId="0" fontId="45" fillId="0" borderId="0" xfId="0" applyFont="1" applyAlignment="1"/>
    <xf numFmtId="0" fontId="45" fillId="0" borderId="0" xfId="0" applyFont="1"/>
    <xf numFmtId="164" fontId="21" fillId="0" borderId="0" xfId="0" applyNumberFormat="1" applyFont="1" applyAlignment="1">
      <alignment horizontal="center"/>
    </xf>
    <xf numFmtId="0" fontId="18" fillId="0" borderId="0" xfId="0" applyFont="1" applyBorder="1" applyAlignment="1">
      <alignment horizontal="center"/>
    </xf>
    <xf numFmtId="0" fontId="49" fillId="0" borderId="0" xfId="0" applyFont="1" applyFill="1" applyAlignment="1" applyProtection="1">
      <alignment horizontal="center"/>
    </xf>
    <xf numFmtId="0" fontId="50" fillId="0" borderId="0" xfId="0" applyFont="1" applyAlignment="1">
      <alignment horizontal="left"/>
    </xf>
    <xf numFmtId="0" fontId="51" fillId="0" borderId="0" xfId="0" applyFont="1"/>
    <xf numFmtId="0" fontId="50" fillId="0" borderId="0" xfId="0" applyFont="1"/>
    <xf numFmtId="0" fontId="52" fillId="0" borderId="0" xfId="0" applyFont="1"/>
    <xf numFmtId="0" fontId="0" fillId="0" borderId="0" xfId="0" applyFont="1" applyFill="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horizontal="right"/>
    </xf>
    <xf numFmtId="0" fontId="19" fillId="0" borderId="0" xfId="0" applyFont="1" applyFill="1" applyBorder="1" applyAlignment="1">
      <alignment horizontal="left"/>
    </xf>
    <xf numFmtId="0" fontId="0" fillId="0" borderId="0" xfId="0" applyFont="1" applyAlignment="1">
      <alignment horizontal="center"/>
    </xf>
    <xf numFmtId="0" fontId="0" fillId="0" borderId="0" xfId="0" quotePrefix="1" applyFont="1" applyAlignment="1">
      <alignment horizontal="center"/>
    </xf>
    <xf numFmtId="0" fontId="27" fillId="0" borderId="0" xfId="0" applyFont="1" applyAlignment="1" applyProtection="1"/>
    <xf numFmtId="0" fontId="24" fillId="0" borderId="0" xfId="0" applyFont="1"/>
    <xf numFmtId="0" fontId="45" fillId="0" borderId="0" xfId="0" applyFont="1" applyAlignment="1">
      <alignment horizontal="center"/>
    </xf>
    <xf numFmtId="0" fontId="21" fillId="0" borderId="0" xfId="0" applyFont="1" applyAlignment="1">
      <alignment horizontal="left"/>
    </xf>
    <xf numFmtId="0" fontId="18" fillId="0" borderId="2" xfId="0" applyFont="1" applyBorder="1" applyAlignment="1">
      <alignment horizontal="center" wrapText="1"/>
    </xf>
    <xf numFmtId="0" fontId="44" fillId="4" borderId="0" xfId="0" applyFont="1" applyFill="1" applyBorder="1"/>
    <xf numFmtId="1" fontId="34" fillId="0" borderId="0" xfId="0" applyNumberFormat="1" applyFont="1" applyAlignment="1">
      <alignment horizontal="center"/>
    </xf>
    <xf numFmtId="1" fontId="21" fillId="0" borderId="0" xfId="0" applyNumberFormat="1" applyFont="1" applyAlignment="1">
      <alignment horizontal="center"/>
    </xf>
    <xf numFmtId="44" fontId="25" fillId="0" borderId="0" xfId="0" applyNumberFormat="1" applyFont="1" applyBorder="1" applyAlignment="1" applyProtection="1">
      <alignment horizontal="center"/>
    </xf>
    <xf numFmtId="0" fontId="23" fillId="0" borderId="0" xfId="0" applyFont="1" applyFill="1" applyBorder="1" applyAlignment="1" applyProtection="1">
      <alignment horizontal="left" wrapText="1"/>
    </xf>
    <xf numFmtId="1" fontId="19" fillId="0" borderId="0" xfId="0" applyNumberFormat="1" applyFont="1" applyAlignment="1" applyProtection="1">
      <alignment horizontal="center"/>
    </xf>
    <xf numFmtId="0" fontId="41" fillId="0" borderId="0" xfId="1" applyFont="1" applyFill="1" applyBorder="1" applyAlignment="1" applyProtection="1">
      <alignment horizontal="center"/>
    </xf>
    <xf numFmtId="2" fontId="38" fillId="0" borderId="0" xfId="0" applyNumberFormat="1" applyFont="1" applyProtection="1"/>
    <xf numFmtId="1" fontId="19" fillId="0" borderId="0" xfId="0" applyNumberFormat="1" applyFont="1" applyAlignment="1" applyProtection="1">
      <alignment horizontal="left"/>
    </xf>
    <xf numFmtId="0" fontId="44" fillId="0" borderId="2" xfId="1" applyFont="1" applyFill="1" applyBorder="1" applyAlignment="1" applyProtection="1">
      <alignment horizontal="center"/>
    </xf>
    <xf numFmtId="0" fontId="55" fillId="0" borderId="2" xfId="1" applyFont="1" applyFill="1" applyBorder="1" applyAlignment="1" applyProtection="1">
      <alignment horizontal="center"/>
    </xf>
    <xf numFmtId="0" fontId="55" fillId="0" borderId="2" xfId="1" applyFont="1" applyFill="1" applyBorder="1" applyAlignment="1">
      <alignment horizontal="center"/>
    </xf>
    <xf numFmtId="164" fontId="61" fillId="0" borderId="2" xfId="1" applyNumberFormat="1" applyFont="1" applyFill="1" applyBorder="1" applyAlignment="1" applyProtection="1">
      <alignment horizontal="center"/>
    </xf>
    <xf numFmtId="165" fontId="23" fillId="0" borderId="0" xfId="0" applyNumberFormat="1" applyFont="1" applyFill="1" applyBorder="1" applyAlignment="1" applyProtection="1">
      <alignment horizontal="left"/>
    </xf>
    <xf numFmtId="164" fontId="23" fillId="0" borderId="0" xfId="0" applyNumberFormat="1" applyFont="1" applyFill="1" applyBorder="1" applyAlignment="1" applyProtection="1">
      <alignment horizontal="left"/>
    </xf>
    <xf numFmtId="0" fontId="59" fillId="0" borderId="0" xfId="0" applyFont="1"/>
    <xf numFmtId="0" fontId="48" fillId="0" borderId="0" xfId="0" applyFont="1" applyAlignment="1">
      <alignment horizontal="center"/>
    </xf>
    <xf numFmtId="0" fontId="48" fillId="0" borderId="0" xfId="0" applyFont="1" applyAlignment="1" applyProtection="1">
      <alignment horizontal="right"/>
    </xf>
    <xf numFmtId="0" fontId="19" fillId="0" borderId="0" xfId="0" applyFont="1" applyAlignment="1" applyProtection="1">
      <alignment horizontal="center"/>
    </xf>
    <xf numFmtId="0" fontId="0" fillId="0" borderId="0" xfId="0" applyProtection="1"/>
    <xf numFmtId="0" fontId="19" fillId="0" borderId="0" xfId="0" applyFont="1" applyProtection="1"/>
    <xf numFmtId="1" fontId="19" fillId="0" borderId="0" xfId="0" applyNumberFormat="1" applyFont="1" applyAlignment="1" applyProtection="1">
      <alignment horizontal="center"/>
    </xf>
    <xf numFmtId="0" fontId="22" fillId="0" borderId="0" xfId="0" applyFont="1" applyAlignment="1" applyProtection="1">
      <alignment horizontal="center"/>
    </xf>
    <xf numFmtId="1" fontId="23" fillId="0" borderId="0" xfId="0" applyNumberFormat="1" applyFont="1" applyAlignment="1" applyProtection="1">
      <alignment horizontal="right"/>
    </xf>
    <xf numFmtId="1" fontId="22" fillId="0" borderId="0" xfId="0" applyNumberFormat="1" applyFont="1" applyAlignment="1" applyProtection="1">
      <alignment horizontal="center"/>
    </xf>
    <xf numFmtId="0" fontId="0" fillId="0" borderId="0" xfId="0" applyAlignment="1">
      <alignment vertical="top" wrapText="1"/>
    </xf>
    <xf numFmtId="1" fontId="32" fillId="0" borderId="0" xfId="0" applyNumberFormat="1" applyFont="1" applyAlignment="1" applyProtection="1">
      <alignment horizontal="center"/>
    </xf>
    <xf numFmtId="0" fontId="32" fillId="0" borderId="0" xfId="0" applyFont="1" applyAlignment="1" applyProtection="1">
      <alignment horizontal="center"/>
    </xf>
    <xf numFmtId="0" fontId="18" fillId="0" borderId="0" xfId="4" applyFont="1" applyAlignment="1">
      <alignment horizontal="left"/>
    </xf>
    <xf numFmtId="0" fontId="18" fillId="0" borderId="0" xfId="4" applyFont="1" applyAlignment="1">
      <alignment horizontal="left" wrapText="1"/>
    </xf>
    <xf numFmtId="0" fontId="64" fillId="0" borderId="0" xfId="4" applyFont="1" applyAlignment="1">
      <alignment horizontal="left"/>
    </xf>
    <xf numFmtId="0" fontId="41" fillId="0" borderId="2" xfId="1" applyFont="1" applyFill="1" applyBorder="1" applyAlignment="1" applyProtection="1">
      <alignment horizontal="center"/>
    </xf>
    <xf numFmtId="0" fontId="60" fillId="0" borderId="2" xfId="0" applyFont="1" applyBorder="1" applyAlignment="1" applyProtection="1">
      <alignment horizontal="left"/>
    </xf>
    <xf numFmtId="0" fontId="60" fillId="0" borderId="2" xfId="0" applyFont="1" applyBorder="1" applyAlignment="1">
      <alignment horizontal="left"/>
    </xf>
    <xf numFmtId="0" fontId="60" fillId="0" borderId="2" xfId="0" applyFont="1" applyFill="1" applyBorder="1" applyAlignment="1" applyProtection="1">
      <alignment horizontal="left"/>
    </xf>
    <xf numFmtId="0" fontId="60" fillId="0" borderId="2" xfId="0" applyFont="1" applyFill="1" applyBorder="1" applyAlignment="1" applyProtection="1">
      <alignment horizontal="left" wrapText="1"/>
    </xf>
    <xf numFmtId="1" fontId="25" fillId="0" borderId="0" xfId="0" applyNumberFormat="1" applyFont="1"/>
    <xf numFmtId="1" fontId="25" fillId="0" borderId="0" xfId="0" applyNumberFormat="1" applyFont="1" applyProtection="1"/>
    <xf numFmtId="1" fontId="58" fillId="0" borderId="0" xfId="0" applyNumberFormat="1" applyFont="1" applyAlignment="1" applyProtection="1">
      <alignment horizontal="center"/>
    </xf>
    <xf numFmtId="0" fontId="21" fillId="5" borderId="0" xfId="0" applyFont="1" applyFill="1" applyProtection="1"/>
    <xf numFmtId="0" fontId="18" fillId="0" borderId="0" xfId="0" applyFont="1" applyBorder="1" applyAlignment="1">
      <alignment horizontal="center" wrapText="1"/>
    </xf>
    <xf numFmtId="0" fontId="66" fillId="0" borderId="0" xfId="0" applyFont="1" applyFill="1" applyBorder="1" applyProtection="1"/>
    <xf numFmtId="0" fontId="56" fillId="0" borderId="0" xfId="0" applyFont="1" applyProtection="1"/>
    <xf numFmtId="0" fontId="0" fillId="5" borderId="0" xfId="0" applyFill="1" applyAlignment="1" applyProtection="1">
      <alignment horizontal="right"/>
    </xf>
    <xf numFmtId="1" fontId="62" fillId="0" borderId="0" xfId="0" applyNumberFormat="1" applyFont="1" applyAlignment="1" applyProtection="1">
      <alignment horizontal="left"/>
    </xf>
    <xf numFmtId="0" fontId="60" fillId="0" borderId="2" xfId="0" applyFont="1" applyBorder="1" applyAlignment="1" applyProtection="1">
      <alignment horizontal="left" wrapText="1"/>
    </xf>
    <xf numFmtId="2" fontId="19" fillId="0" borderId="0" xfId="0" applyNumberFormat="1" applyFont="1" applyAlignment="1" applyProtection="1">
      <alignment horizontal="center"/>
    </xf>
    <xf numFmtId="166" fontId="32" fillId="0" borderId="0" xfId="0" applyNumberFormat="1" applyFont="1" applyAlignment="1" applyProtection="1">
      <alignment horizontal="center"/>
    </xf>
    <xf numFmtId="170" fontId="19" fillId="0" borderId="0" xfId="0" applyNumberFormat="1" applyFont="1" applyAlignment="1" applyProtection="1">
      <alignment horizontal="center"/>
    </xf>
    <xf numFmtId="165" fontId="23" fillId="0" borderId="0" xfId="0" applyNumberFormat="1" applyFont="1" applyFill="1" applyBorder="1" applyAlignment="1" applyProtection="1">
      <alignment horizontal="left"/>
    </xf>
    <xf numFmtId="0" fontId="57" fillId="0" borderId="0" xfId="0" applyFont="1"/>
    <xf numFmtId="0" fontId="0" fillId="5" borderId="2" xfId="0" applyFill="1" applyBorder="1" applyProtection="1"/>
    <xf numFmtId="0" fontId="0" fillId="5" borderId="2" xfId="0" applyFill="1" applyBorder="1" applyAlignment="1" applyProtection="1">
      <alignment horizontal="center"/>
    </xf>
    <xf numFmtId="0" fontId="19" fillId="5" borderId="2" xfId="0" applyFont="1" applyFill="1" applyBorder="1" applyProtection="1"/>
    <xf numFmtId="0" fontId="21" fillId="5" borderId="2" xfId="0" applyFont="1" applyFill="1" applyBorder="1" applyProtection="1"/>
    <xf numFmtId="1" fontId="0" fillId="5" borderId="2" xfId="0" applyNumberFormat="1" applyFill="1" applyBorder="1" applyProtection="1"/>
    <xf numFmtId="0" fontId="19" fillId="5" borderId="2" xfId="0" applyFont="1" applyFill="1" applyBorder="1" applyAlignment="1" applyProtection="1">
      <alignment horizontal="center"/>
    </xf>
    <xf numFmtId="0" fontId="0" fillId="0" borderId="2" xfId="0" applyBorder="1"/>
    <xf numFmtId="1" fontId="19" fillId="5" borderId="2" xfId="0" applyNumberFormat="1" applyFont="1" applyFill="1" applyBorder="1" applyAlignment="1" applyProtection="1">
      <alignment horizontal="center"/>
    </xf>
    <xf numFmtId="0" fontId="26" fillId="0" borderId="2" xfId="0" applyFont="1" applyBorder="1"/>
    <xf numFmtId="0" fontId="19" fillId="5" borderId="2" xfId="0" applyFont="1" applyFill="1" applyBorder="1" applyAlignment="1" applyProtection="1">
      <alignment horizontal="center" wrapText="1"/>
    </xf>
    <xf numFmtId="0" fontId="19" fillId="5" borderId="2" xfId="0" applyFont="1" applyFill="1" applyBorder="1" applyAlignment="1">
      <alignment horizontal="center"/>
    </xf>
    <xf numFmtId="0" fontId="19" fillId="0" borderId="2" xfId="0" applyFont="1" applyBorder="1" applyAlignment="1" applyProtection="1">
      <alignment horizontal="center"/>
    </xf>
    <xf numFmtId="164" fontId="59" fillId="5" borderId="2" xfId="0" applyNumberFormat="1" applyFont="1" applyFill="1" applyBorder="1" applyAlignment="1" applyProtection="1">
      <alignment horizontal="center"/>
    </xf>
    <xf numFmtId="1" fontId="59" fillId="5" borderId="2" xfId="0" applyNumberFormat="1" applyFont="1" applyFill="1" applyBorder="1" applyAlignment="1">
      <alignment horizontal="center"/>
    </xf>
    <xf numFmtId="164" fontId="59" fillId="0" borderId="2" xfId="0" applyNumberFormat="1" applyFont="1" applyBorder="1" applyAlignment="1">
      <alignment horizontal="right" indent="3"/>
    </xf>
    <xf numFmtId="0" fontId="21" fillId="0" borderId="0" xfId="0" applyFont="1" applyAlignment="1">
      <alignment wrapText="1"/>
    </xf>
    <xf numFmtId="1" fontId="21" fillId="0" borderId="0" xfId="0" applyNumberFormat="1" applyFont="1" applyAlignment="1" applyProtection="1">
      <alignment horizontal="center" wrapText="1"/>
    </xf>
    <xf numFmtId="0" fontId="21" fillId="0" borderId="0" xfId="0" applyFont="1" applyAlignment="1" applyProtection="1">
      <alignment wrapText="1"/>
    </xf>
    <xf numFmtId="1" fontId="21" fillId="0" borderId="0" xfId="0" applyNumberFormat="1" applyFont="1" applyAlignment="1" applyProtection="1">
      <alignment wrapText="1"/>
    </xf>
    <xf numFmtId="0" fontId="21" fillId="0" borderId="0" xfId="0" applyFont="1" applyAlignment="1" applyProtection="1">
      <alignment horizontal="center" wrapText="1"/>
    </xf>
    <xf numFmtId="0" fontId="60" fillId="0" borderId="0" xfId="0" applyFont="1" applyFill="1" applyBorder="1" applyAlignment="1" applyProtection="1">
      <alignment horizontal="left" wrapText="1"/>
    </xf>
    <xf numFmtId="0" fontId="58" fillId="0" borderId="0" xfId="0" applyFont="1" applyAlignment="1">
      <alignment horizontal="left" wrapText="1"/>
    </xf>
    <xf numFmtId="0" fontId="56" fillId="0" borderId="0" xfId="0" applyFont="1" applyAlignment="1">
      <alignment horizontal="left"/>
    </xf>
    <xf numFmtId="0" fontId="68" fillId="0" borderId="0" xfId="0" applyFont="1" applyAlignment="1" applyProtection="1">
      <alignment wrapText="1"/>
    </xf>
    <xf numFmtId="0" fontId="56" fillId="0" borderId="0" xfId="0" applyFont="1" applyAlignment="1">
      <alignment wrapText="1"/>
    </xf>
    <xf numFmtId="0" fontId="56" fillId="0" borderId="0" xfId="0" applyFont="1" applyFill="1"/>
    <xf numFmtId="1" fontId="59" fillId="5" borderId="2" xfId="0" applyNumberFormat="1" applyFont="1" applyFill="1" applyBorder="1" applyAlignment="1" applyProtection="1">
      <alignment horizontal="center"/>
    </xf>
    <xf numFmtId="0" fontId="9" fillId="0" borderId="0" xfId="40"/>
    <xf numFmtId="0" fontId="62" fillId="0" borderId="2" xfId="0" applyFont="1" applyFill="1" applyBorder="1" applyProtection="1"/>
    <xf numFmtId="0" fontId="57" fillId="0" borderId="2" xfId="0" applyFont="1" applyFill="1" applyBorder="1" applyAlignment="1" applyProtection="1">
      <alignment horizontal="center"/>
    </xf>
    <xf numFmtId="0" fontId="57" fillId="0" borderId="2" xfId="0" applyFont="1" applyBorder="1" applyAlignment="1" applyProtection="1">
      <alignment horizontal="center"/>
    </xf>
    <xf numFmtId="0" fontId="57" fillId="0" borderId="2" xfId="0" applyFont="1" applyBorder="1" applyProtection="1"/>
    <xf numFmtId="164" fontId="59" fillId="5" borderId="2" xfId="0" applyNumberFormat="1" applyFont="1" applyFill="1" applyBorder="1" applyAlignment="1">
      <alignment horizontal="center"/>
    </xf>
    <xf numFmtId="164" fontId="18" fillId="5" borderId="2" xfId="0" applyNumberFormat="1" applyFont="1" applyFill="1" applyBorder="1" applyAlignment="1" applyProtection="1">
      <alignment horizontal="center"/>
    </xf>
    <xf numFmtId="2" fontId="18" fillId="0" borderId="0" xfId="4" applyNumberFormat="1"/>
    <xf numFmtId="0" fontId="18" fillId="0" borderId="0" xfId="4"/>
    <xf numFmtId="0" fontId="22" fillId="0" borderId="0" xfId="4" applyFont="1" applyFill="1" applyBorder="1" applyProtection="1"/>
    <xf numFmtId="0" fontId="23" fillId="0" borderId="0" xfId="4" applyFont="1" applyProtection="1"/>
    <xf numFmtId="0" fontId="22" fillId="0" borderId="0" xfId="4" applyFont="1" applyFill="1" applyBorder="1" applyAlignment="1" applyProtection="1">
      <alignment horizontal="center"/>
    </xf>
    <xf numFmtId="0" fontId="23" fillId="0" borderId="0" xfId="4" applyFont="1" applyFill="1" applyBorder="1" applyProtection="1"/>
    <xf numFmtId="0" fontId="23" fillId="0" borderId="0" xfId="4" applyFont="1" applyAlignment="1" applyProtection="1">
      <alignment horizontal="center"/>
    </xf>
    <xf numFmtId="0" fontId="22" fillId="0" borderId="0" xfId="4" applyFont="1" applyFill="1" applyBorder="1" applyAlignment="1" applyProtection="1">
      <alignment horizontal="center" wrapText="1"/>
    </xf>
    <xf numFmtId="2" fontId="28" fillId="0" borderId="0" xfId="4" applyNumberFormat="1" applyFont="1" applyFill="1" applyBorder="1" applyAlignment="1" applyProtection="1">
      <alignment horizontal="center"/>
    </xf>
    <xf numFmtId="0" fontId="22" fillId="0" borderId="0" xfId="4" applyFont="1" applyFill="1" applyBorder="1" applyAlignment="1" applyProtection="1">
      <alignment horizontal="left"/>
    </xf>
    <xf numFmtId="0" fontId="18" fillId="0" borderId="0" xfId="4" applyAlignment="1">
      <alignment horizontal="left"/>
    </xf>
    <xf numFmtId="0" fontId="35" fillId="0" borderId="0" xfId="4" applyFont="1" applyAlignment="1">
      <alignment horizontal="left"/>
    </xf>
    <xf numFmtId="2" fontId="23" fillId="0" borderId="0" xfId="4" applyNumberFormat="1" applyFont="1" applyProtection="1"/>
    <xf numFmtId="0" fontId="23" fillId="0" borderId="0" xfId="4" applyNumberFormat="1" applyFont="1" applyProtection="1"/>
    <xf numFmtId="0" fontId="23" fillId="0" borderId="0" xfId="4" applyNumberFormat="1" applyFont="1" applyFill="1" applyBorder="1" applyProtection="1"/>
    <xf numFmtId="0" fontId="22" fillId="0" borderId="0" xfId="4" applyNumberFormat="1" applyFont="1" applyFill="1" applyBorder="1" applyAlignment="1" applyProtection="1">
      <alignment horizontal="center"/>
    </xf>
    <xf numFmtId="0" fontId="28" fillId="0" borderId="0" xfId="4" applyNumberFormat="1" applyFont="1" applyFill="1" applyBorder="1" applyAlignment="1" applyProtection="1">
      <alignment horizontal="center"/>
    </xf>
    <xf numFmtId="166" fontId="23" fillId="0" borderId="0" xfId="4" applyNumberFormat="1" applyFont="1" applyProtection="1"/>
    <xf numFmtId="2" fontId="35" fillId="0" borderId="0" xfId="4" applyNumberFormat="1" applyFont="1" applyAlignment="1"/>
    <xf numFmtId="2" fontId="36" fillId="0" borderId="0" xfId="4" applyNumberFormat="1" applyFont="1" applyAlignment="1"/>
    <xf numFmtId="0" fontId="53" fillId="0" borderId="0" xfId="4" applyFont="1" applyAlignment="1">
      <alignment horizontal="center" wrapText="1"/>
    </xf>
    <xf numFmtId="0" fontId="53" fillId="0" borderId="0" xfId="4" applyFont="1" applyAlignment="1">
      <alignment horizontal="center" vertical="center"/>
    </xf>
    <xf numFmtId="0" fontId="22" fillId="0" borderId="0" xfId="4" applyNumberFormat="1" applyFont="1" applyFill="1" applyBorder="1" applyAlignment="1" applyProtection="1">
      <alignment horizontal="center" wrapText="1"/>
    </xf>
    <xf numFmtId="2" fontId="23" fillId="0" borderId="0" xfId="4" applyNumberFormat="1" applyFont="1" applyFill="1" applyBorder="1" applyProtection="1"/>
    <xf numFmtId="2" fontId="35" fillId="0" borderId="0" xfId="4" applyNumberFormat="1" applyFont="1" applyAlignment="1"/>
    <xf numFmtId="0" fontId="19" fillId="0" borderId="0" xfId="0" applyFont="1" applyFill="1" applyBorder="1"/>
    <xf numFmtId="0" fontId="60" fillId="0" borderId="2" xfId="0" applyFont="1" applyBorder="1" applyAlignment="1">
      <alignment horizontal="left" wrapText="1"/>
    </xf>
    <xf numFmtId="0" fontId="56" fillId="0" borderId="0" xfId="0" applyFont="1" applyAlignment="1" applyProtection="1">
      <alignment wrapText="1"/>
    </xf>
    <xf numFmtId="0" fontId="25" fillId="0" borderId="0" xfId="0" applyFont="1" applyAlignment="1">
      <alignment horizontal="center"/>
    </xf>
    <xf numFmtId="0" fontId="25" fillId="0" borderId="0" xfId="0" applyFont="1"/>
    <xf numFmtId="0" fontId="73" fillId="0" borderId="0" xfId="0" applyFont="1"/>
    <xf numFmtId="0" fontId="69" fillId="0" borderId="0" xfId="0" applyFont="1"/>
    <xf numFmtId="0" fontId="74" fillId="0" borderId="0" xfId="0" applyFont="1" applyAlignment="1">
      <alignment horizontal="center"/>
    </xf>
    <xf numFmtId="0" fontId="74" fillId="0" borderId="0" xfId="0" applyFont="1" applyFill="1" applyBorder="1" applyAlignment="1">
      <alignment horizontal="center"/>
    </xf>
    <xf numFmtId="0" fontId="74" fillId="0" borderId="0" xfId="0" applyFont="1" applyFill="1" applyBorder="1" applyAlignment="1" applyProtection="1">
      <alignment horizontal="center" wrapText="1"/>
    </xf>
    <xf numFmtId="0" fontId="75" fillId="0" borderId="0" xfId="0" applyFont="1" applyFill="1" applyAlignment="1" applyProtection="1">
      <alignment horizontal="center"/>
    </xf>
    <xf numFmtId="0" fontId="75" fillId="0" borderId="0" xfId="0" applyFont="1" applyFill="1" applyAlignment="1">
      <alignment horizontal="center"/>
    </xf>
    <xf numFmtId="0" fontId="76" fillId="0" borderId="0" xfId="0" applyFont="1" applyFill="1" applyAlignment="1" applyProtection="1">
      <alignment horizontal="center"/>
    </xf>
    <xf numFmtId="0" fontId="76" fillId="0" borderId="0" xfId="0" applyFont="1" applyFill="1" applyAlignment="1">
      <alignment horizontal="center"/>
    </xf>
    <xf numFmtId="0" fontId="74" fillId="0" borderId="0" xfId="0" applyFont="1"/>
    <xf numFmtId="164" fontId="77" fillId="0" borderId="2" xfId="0" applyNumberFormat="1" applyFont="1" applyBorder="1" applyAlignment="1">
      <alignment horizontal="center"/>
    </xf>
    <xf numFmtId="164" fontId="77" fillId="0" borderId="4" xfId="0" applyNumberFormat="1" applyFont="1" applyBorder="1" applyAlignment="1">
      <alignment horizontal="center"/>
    </xf>
    <xf numFmtId="164" fontId="78" fillId="0" borderId="2" xfId="1" applyNumberFormat="1" applyFont="1" applyFill="1" applyBorder="1" applyAlignment="1" applyProtection="1">
      <alignment horizontal="center"/>
    </xf>
    <xf numFmtId="164" fontId="74" fillId="0" borderId="2" xfId="0" applyNumberFormat="1" applyFont="1" applyBorder="1" applyAlignment="1">
      <alignment horizontal="center"/>
    </xf>
    <xf numFmtId="164" fontId="79" fillId="0" borderId="0" xfId="0" applyNumberFormat="1" applyFont="1" applyFill="1" applyAlignment="1" applyProtection="1">
      <alignment horizontal="center"/>
    </xf>
    <xf numFmtId="0" fontId="80" fillId="0" borderId="0" xfId="0" applyFont="1" applyFill="1" applyAlignment="1">
      <alignment horizontal="center"/>
    </xf>
    <xf numFmtId="2" fontId="76" fillId="0" borderId="0" xfId="0" applyNumberFormat="1" applyFont="1" applyFill="1" applyAlignment="1" applyProtection="1">
      <alignment horizontal="center"/>
    </xf>
    <xf numFmtId="0" fontId="81" fillId="0" borderId="0" xfId="0" applyFont="1" applyFill="1" applyAlignment="1">
      <alignment horizontal="center"/>
    </xf>
    <xf numFmtId="164" fontId="77" fillId="0" borderId="3" xfId="0" applyNumberFormat="1" applyFont="1" applyBorder="1" applyAlignment="1">
      <alignment horizontal="center"/>
    </xf>
    <xf numFmtId="164" fontId="77" fillId="0" borderId="5" xfId="0" applyNumberFormat="1" applyFont="1" applyBorder="1" applyAlignment="1">
      <alignment horizontal="center"/>
    </xf>
    <xf numFmtId="0" fontId="82" fillId="0" borderId="0" xfId="0" applyFont="1"/>
    <xf numFmtId="0" fontId="60" fillId="0" borderId="0" xfId="0" applyFont="1" applyProtection="1"/>
    <xf numFmtId="0" fontId="71" fillId="0" borderId="0" xfId="0" applyFont="1" applyFill="1" applyBorder="1" applyAlignment="1" applyProtection="1">
      <alignment horizontal="center" wrapText="1"/>
    </xf>
    <xf numFmtId="0" fontId="60" fillId="0" borderId="0" xfId="0" applyFont="1" applyAlignment="1" applyProtection="1">
      <alignment horizontal="center" wrapText="1"/>
    </xf>
    <xf numFmtId="0" fontId="60" fillId="0" borderId="0" xfId="0" applyFont="1" applyAlignment="1" applyProtection="1">
      <alignment horizontal="center"/>
    </xf>
    <xf numFmtId="0" fontId="25" fillId="0" borderId="0" xfId="0" applyFont="1" applyAlignment="1" applyProtection="1">
      <alignment horizontal="center" wrapText="1"/>
    </xf>
    <xf numFmtId="0" fontId="25" fillId="0" borderId="0" xfId="0" applyFont="1" applyAlignment="1">
      <alignment horizontal="center" wrapText="1"/>
    </xf>
    <xf numFmtId="2" fontId="25" fillId="0" borderId="2" xfId="4" applyNumberFormat="1" applyFont="1" applyBorder="1" applyAlignment="1">
      <alignment horizontal="center"/>
    </xf>
    <xf numFmtId="2" fontId="25" fillId="0" borderId="2" xfId="4" applyNumberFormat="1" applyFont="1" applyFill="1" applyBorder="1" applyAlignment="1" applyProtection="1">
      <alignment horizontal="center"/>
    </xf>
    <xf numFmtId="164" fontId="25" fillId="0" borderId="2" xfId="0" applyNumberFormat="1" applyFont="1" applyBorder="1" applyAlignment="1" applyProtection="1">
      <alignment horizontal="center"/>
    </xf>
    <xf numFmtId="0" fontId="60" fillId="0" borderId="2" xfId="0" applyFont="1" applyBorder="1" applyAlignment="1" applyProtection="1">
      <alignment horizontal="center"/>
    </xf>
    <xf numFmtId="1" fontId="25" fillId="0" borderId="2" xfId="4" applyNumberFormat="1" applyFont="1" applyFill="1" applyBorder="1" applyAlignment="1" applyProtection="1">
      <alignment horizontal="center"/>
    </xf>
    <xf numFmtId="0" fontId="83" fillId="0" borderId="0" xfId="0" applyFont="1"/>
    <xf numFmtId="0" fontId="25" fillId="0" borderId="0" xfId="0" applyFont="1" applyFill="1" applyBorder="1" applyAlignment="1" applyProtection="1">
      <alignment horizontal="center"/>
    </xf>
    <xf numFmtId="0" fontId="25" fillId="0" borderId="0" xfId="0" applyFont="1" applyAlignment="1" applyProtection="1">
      <alignment horizontal="center"/>
    </xf>
    <xf numFmtId="0" fontId="72" fillId="0" borderId="0" xfId="0" applyFont="1" applyFill="1" applyBorder="1" applyProtection="1"/>
    <xf numFmtId="0" fontId="84" fillId="0" borderId="0" xfId="0" applyFont="1" applyFill="1" applyBorder="1" applyAlignment="1" applyProtection="1">
      <alignment horizontal="left"/>
    </xf>
    <xf numFmtId="0" fontId="25" fillId="0" borderId="0" xfId="0" applyFont="1" applyFill="1" applyBorder="1" applyAlignment="1" applyProtection="1">
      <alignment horizontal="left"/>
    </xf>
    <xf numFmtId="2" fontId="25" fillId="0" borderId="0" xfId="0" applyNumberFormat="1" applyFont="1" applyFill="1" applyBorder="1" applyAlignment="1" applyProtection="1">
      <alignment horizontal="center"/>
    </xf>
    <xf numFmtId="1" fontId="25" fillId="0" borderId="0" xfId="0" applyNumberFormat="1" applyFont="1" applyFill="1" applyBorder="1" applyAlignment="1" applyProtection="1">
      <alignment horizontal="center"/>
    </xf>
    <xf numFmtId="0" fontId="85" fillId="0" borderId="0" xfId="0" applyFont="1"/>
    <xf numFmtId="0" fontId="62" fillId="0" borderId="0" xfId="0" applyFont="1" applyFill="1" applyBorder="1"/>
    <xf numFmtId="0" fontId="57" fillId="0" borderId="2" xfId="0" applyFont="1" applyBorder="1"/>
    <xf numFmtId="0" fontId="61" fillId="0" borderId="2" xfId="1" applyFont="1" applyFill="1" applyBorder="1" applyAlignment="1" applyProtection="1">
      <alignment horizontal="center"/>
    </xf>
    <xf numFmtId="1" fontId="18" fillId="0" borderId="2" xfId="0" applyNumberFormat="1" applyFont="1" applyBorder="1" applyAlignment="1">
      <alignment horizontal="center"/>
    </xf>
    <xf numFmtId="0" fontId="74" fillId="0" borderId="2" xfId="0" applyFont="1" applyBorder="1"/>
    <xf numFmtId="164" fontId="57" fillId="0" borderId="2" xfId="0" applyNumberFormat="1" applyFont="1" applyFill="1" applyBorder="1" applyAlignment="1">
      <alignment horizontal="center"/>
    </xf>
    <xf numFmtId="0" fontId="25" fillId="0" borderId="2" xfId="0" applyFont="1" applyBorder="1"/>
    <xf numFmtId="1" fontId="25" fillId="0" borderId="2" xfId="0" applyNumberFormat="1" applyFont="1" applyBorder="1" applyAlignment="1">
      <alignment horizontal="center"/>
    </xf>
    <xf numFmtId="0" fontId="9" fillId="0" borderId="2" xfId="40" applyBorder="1"/>
    <xf numFmtId="0" fontId="0" fillId="5" borderId="2" xfId="0" applyFill="1" applyBorder="1"/>
    <xf numFmtId="2" fontId="57" fillId="3" borderId="2" xfId="4" applyNumberFormat="1" applyFont="1" applyFill="1" applyBorder="1" applyAlignment="1">
      <alignment horizontal="center" vertical="center"/>
    </xf>
    <xf numFmtId="1" fontId="57" fillId="0" borderId="2" xfId="4" applyNumberFormat="1" applyFont="1" applyFill="1" applyBorder="1" applyAlignment="1" applyProtection="1">
      <alignment horizontal="center"/>
    </xf>
    <xf numFmtId="164" fontId="85" fillId="0" borderId="2" xfId="4" applyNumberFormat="1" applyFont="1" applyBorder="1" applyAlignment="1">
      <alignment horizontal="center"/>
    </xf>
    <xf numFmtId="170" fontId="57" fillId="0" borderId="2" xfId="4" applyNumberFormat="1" applyFont="1" applyBorder="1" applyAlignment="1">
      <alignment horizontal="center" vertical="center"/>
    </xf>
    <xf numFmtId="166" fontId="57" fillId="0" borderId="2" xfId="4" applyNumberFormat="1" applyFont="1" applyBorder="1" applyAlignment="1">
      <alignment horizontal="center" vertical="center"/>
    </xf>
    <xf numFmtId="2" fontId="56" fillId="0" borderId="2" xfId="4" applyNumberFormat="1" applyFont="1" applyFill="1" applyBorder="1" applyAlignment="1" applyProtection="1">
      <alignment horizontal="center"/>
    </xf>
    <xf numFmtId="164" fontId="86" fillId="0" borderId="2" xfId="1" applyNumberFormat="1" applyFont="1" applyFill="1" applyBorder="1" applyAlignment="1" applyProtection="1">
      <alignment horizontal="center"/>
    </xf>
    <xf numFmtId="2" fontId="62" fillId="0" borderId="2" xfId="4" applyNumberFormat="1" applyFont="1" applyFill="1" applyBorder="1" applyAlignment="1" applyProtection="1">
      <alignment horizontal="center"/>
    </xf>
    <xf numFmtId="167" fontId="87" fillId="0" borderId="2" xfId="4" applyNumberFormat="1" applyFont="1" applyBorder="1" applyAlignment="1">
      <alignment horizontal="center"/>
    </xf>
    <xf numFmtId="167" fontId="62" fillId="0" borderId="2" xfId="0" applyNumberFormat="1" applyFont="1" applyFill="1" applyBorder="1" applyAlignment="1" applyProtection="1">
      <alignment horizontal="center"/>
    </xf>
    <xf numFmtId="0" fontId="62" fillId="0" borderId="2" xfId="0" applyFont="1" applyBorder="1" applyAlignment="1" applyProtection="1">
      <alignment horizontal="center"/>
    </xf>
    <xf numFmtId="0" fontId="62" fillId="0" borderId="2" xfId="0" applyFont="1" applyBorder="1" applyAlignment="1"/>
    <xf numFmtId="0" fontId="88" fillId="0" borderId="2" xfId="0" applyFont="1" applyBorder="1" applyAlignment="1" applyProtection="1"/>
    <xf numFmtId="0" fontId="88" fillId="0" borderId="2" xfId="0" applyFont="1" applyBorder="1" applyProtection="1"/>
    <xf numFmtId="0" fontId="88" fillId="0" borderId="2" xfId="0" applyFont="1" applyBorder="1"/>
    <xf numFmtId="0" fontId="88" fillId="0" borderId="2" xfId="0" applyFont="1" applyBorder="1" applyAlignment="1">
      <alignment horizontal="center"/>
    </xf>
    <xf numFmtId="0" fontId="57" fillId="0" borderId="2" xfId="0" applyFont="1" applyBorder="1" applyAlignment="1">
      <alignment horizontal="center"/>
    </xf>
    <xf numFmtId="0" fontId="57" fillId="0" borderId="2" xfId="0" applyFont="1" applyFill="1" applyBorder="1"/>
    <xf numFmtId="164" fontId="57" fillId="0" borderId="2" xfId="4" applyNumberFormat="1" applyFont="1" applyBorder="1" applyAlignment="1">
      <alignment horizontal="left"/>
    </xf>
    <xf numFmtId="0" fontId="62" fillId="0" borderId="2" xfId="0" applyFont="1" applyBorder="1" applyAlignment="1" applyProtection="1"/>
    <xf numFmtId="164" fontId="69" fillId="0" borderId="2" xfId="4" applyNumberFormat="1" applyFont="1" applyBorder="1" applyAlignment="1">
      <alignment horizontal="center"/>
    </xf>
    <xf numFmtId="167" fontId="69" fillId="0" borderId="2" xfId="0" applyNumberFormat="1" applyFont="1" applyFill="1" applyBorder="1" applyAlignment="1" applyProtection="1">
      <alignment horizontal="center"/>
    </xf>
    <xf numFmtId="0" fontId="69" fillId="0" borderId="2" xfId="0" applyFont="1" applyBorder="1" applyAlignment="1" applyProtection="1">
      <alignment horizontal="center"/>
    </xf>
    <xf numFmtId="0" fontId="69" fillId="0" borderId="2" xfId="0" applyFont="1" applyBorder="1" applyAlignment="1" applyProtection="1"/>
    <xf numFmtId="0" fontId="69" fillId="0" borderId="2" xfId="0" applyFont="1" applyBorder="1" applyProtection="1"/>
    <xf numFmtId="0" fontId="69" fillId="0" borderId="2" xfId="0" applyFont="1" applyBorder="1"/>
    <xf numFmtId="0" fontId="69" fillId="0" borderId="2" xfId="0" applyFont="1" applyBorder="1" applyAlignment="1">
      <alignment horizontal="center"/>
    </xf>
    <xf numFmtId="0" fontId="69" fillId="0" borderId="2" xfId="0" applyFont="1" applyFill="1" applyBorder="1"/>
    <xf numFmtId="0" fontId="69" fillId="0" borderId="2" xfId="0" applyFont="1" applyBorder="1" applyAlignment="1"/>
    <xf numFmtId="0" fontId="88" fillId="0" borderId="2" xfId="0" applyFont="1" applyBorder="1" applyAlignment="1"/>
    <xf numFmtId="164" fontId="57" fillId="0" borderId="2" xfId="4" applyNumberFormat="1" applyFont="1" applyBorder="1" applyAlignment="1">
      <alignment horizontal="center"/>
    </xf>
    <xf numFmtId="170" fontId="69" fillId="0" borderId="2" xfId="4" applyNumberFormat="1" applyFont="1" applyBorder="1" applyAlignment="1">
      <alignment horizontal="center" vertical="center"/>
    </xf>
    <xf numFmtId="166" fontId="69" fillId="0" borderId="2" xfId="4" applyNumberFormat="1" applyFont="1" applyBorder="1" applyAlignment="1">
      <alignment horizontal="center" vertical="center"/>
    </xf>
    <xf numFmtId="167" fontId="85" fillId="0" borderId="2" xfId="0" applyNumberFormat="1" applyFont="1" applyFill="1" applyBorder="1" applyAlignment="1" applyProtection="1">
      <alignment horizontal="center"/>
    </xf>
    <xf numFmtId="0" fontId="85" fillId="0" borderId="2" xfId="0" applyFont="1" applyBorder="1" applyAlignment="1" applyProtection="1">
      <alignment horizontal="center"/>
    </xf>
    <xf numFmtId="0" fontId="85" fillId="0" borderId="2" xfId="0" applyFont="1" applyBorder="1" applyAlignment="1" applyProtection="1"/>
    <xf numFmtId="0" fontId="85" fillId="0" borderId="2" xfId="0" applyFont="1" applyBorder="1" applyProtection="1"/>
    <xf numFmtId="0" fontId="85" fillId="0" borderId="2" xfId="0" applyFont="1" applyBorder="1"/>
    <xf numFmtId="0" fontId="85" fillId="0" borderId="2" xfId="0" applyFont="1" applyBorder="1" applyAlignment="1">
      <alignment horizontal="center"/>
    </xf>
    <xf numFmtId="0" fontId="85" fillId="0" borderId="2" xfId="0" applyFont="1" applyFill="1" applyBorder="1"/>
    <xf numFmtId="164" fontId="87" fillId="0" borderId="2" xfId="4" applyNumberFormat="1" applyFont="1" applyBorder="1" applyAlignment="1">
      <alignment horizontal="center"/>
    </xf>
    <xf numFmtId="164" fontId="62" fillId="0" borderId="2" xfId="0" applyNumberFormat="1" applyFont="1" applyFill="1" applyBorder="1" applyAlignment="1" applyProtection="1">
      <alignment horizontal="center"/>
    </xf>
    <xf numFmtId="164" fontId="62" fillId="0" borderId="2" xfId="0" applyNumberFormat="1" applyFont="1" applyFill="1" applyBorder="1" applyAlignment="1" applyProtection="1"/>
    <xf numFmtId="164" fontId="88" fillId="0" borderId="2" xfId="0" applyNumberFormat="1" applyFont="1" applyFill="1" applyBorder="1" applyAlignment="1" applyProtection="1"/>
    <xf numFmtId="164" fontId="88" fillId="0" borderId="2" xfId="0" applyNumberFormat="1" applyFont="1" applyFill="1" applyBorder="1" applyProtection="1"/>
    <xf numFmtId="164" fontId="88" fillId="0" borderId="2" xfId="0" applyNumberFormat="1" applyFont="1" applyFill="1" applyBorder="1"/>
    <xf numFmtId="164" fontId="88" fillId="0" borderId="2" xfId="0" applyNumberFormat="1" applyFont="1" applyFill="1" applyBorder="1" applyAlignment="1">
      <alignment horizontal="center"/>
    </xf>
    <xf numFmtId="164" fontId="57" fillId="0" borderId="2" xfId="0" applyNumberFormat="1" applyFont="1" applyFill="1" applyBorder="1"/>
    <xf numFmtId="2" fontId="88" fillId="0" borderId="2" xfId="4" applyNumberFormat="1" applyFont="1" applyFill="1" applyBorder="1" applyAlignment="1" applyProtection="1">
      <alignment horizontal="center"/>
    </xf>
    <xf numFmtId="2" fontId="88" fillId="0" borderId="2" xfId="0" applyNumberFormat="1" applyFont="1" applyFill="1" applyBorder="1" applyAlignment="1" applyProtection="1">
      <alignment horizontal="center"/>
    </xf>
    <xf numFmtId="2" fontId="89" fillId="0" borderId="2" xfId="0" applyNumberFormat="1" applyFont="1" applyFill="1" applyBorder="1" applyAlignment="1" applyProtection="1">
      <alignment horizontal="center"/>
    </xf>
    <xf numFmtId="164" fontId="88" fillId="0" borderId="2" xfId="0" applyNumberFormat="1" applyFont="1" applyFill="1" applyBorder="1" applyAlignment="1" applyProtection="1">
      <alignment horizontal="center"/>
    </xf>
    <xf numFmtId="166" fontId="88" fillId="0" borderId="2" xfId="0" applyNumberFormat="1" applyFont="1" applyFill="1" applyBorder="1" applyAlignment="1" applyProtection="1">
      <alignment horizontal="center"/>
    </xf>
    <xf numFmtId="166" fontId="89" fillId="0" borderId="2" xfId="0" applyNumberFormat="1" applyFont="1" applyFill="1" applyBorder="1" applyAlignment="1" applyProtection="1">
      <alignment horizontal="center"/>
    </xf>
    <xf numFmtId="14" fontId="88" fillId="0" borderId="2" xfId="0" applyNumberFormat="1" applyFont="1" applyBorder="1" applyAlignment="1">
      <alignment horizontal="center"/>
    </xf>
    <xf numFmtId="0" fontId="88" fillId="0" borderId="0" xfId="0" applyFont="1" applyFill="1" applyBorder="1" applyProtection="1"/>
    <xf numFmtId="2" fontId="88" fillId="0" borderId="0" xfId="4" applyNumberFormat="1" applyFont="1" applyFill="1" applyBorder="1" applyAlignment="1" applyProtection="1">
      <alignment horizontal="center"/>
    </xf>
    <xf numFmtId="0" fontId="88" fillId="0" borderId="0" xfId="4" applyNumberFormat="1" applyFont="1" applyFill="1" applyBorder="1" applyAlignment="1" applyProtection="1">
      <alignment horizontal="center"/>
    </xf>
    <xf numFmtId="2" fontId="88" fillId="0" borderId="0" xfId="0" applyNumberFormat="1" applyFont="1" applyFill="1" applyBorder="1" applyAlignment="1" applyProtection="1">
      <alignment horizontal="center"/>
    </xf>
    <xf numFmtId="2" fontId="89" fillId="0" borderId="0" xfId="0" applyNumberFormat="1" applyFont="1" applyFill="1" applyBorder="1" applyAlignment="1" applyProtection="1">
      <alignment horizontal="center"/>
    </xf>
    <xf numFmtId="164" fontId="88" fillId="0" borderId="0" xfId="0" applyNumberFormat="1" applyFont="1" applyFill="1" applyBorder="1" applyAlignment="1" applyProtection="1">
      <alignment horizontal="center"/>
    </xf>
    <xf numFmtId="166" fontId="88" fillId="0" borderId="0" xfId="0" applyNumberFormat="1" applyFont="1" applyFill="1" applyBorder="1" applyAlignment="1" applyProtection="1">
      <alignment horizontal="center"/>
    </xf>
    <xf numFmtId="166" fontId="89" fillId="0" borderId="0" xfId="0" applyNumberFormat="1" applyFont="1" applyFill="1" applyBorder="1" applyAlignment="1" applyProtection="1">
      <alignment horizontal="center"/>
    </xf>
    <xf numFmtId="164" fontId="88" fillId="0" borderId="0" xfId="0" applyNumberFormat="1" applyFont="1" applyFill="1" applyBorder="1" applyAlignment="1">
      <alignment horizontal="center"/>
    </xf>
    <xf numFmtId="14" fontId="88" fillId="0" borderId="0" xfId="0" applyNumberFormat="1" applyFont="1" applyBorder="1" applyAlignment="1">
      <alignment horizontal="center"/>
    </xf>
    <xf numFmtId="164" fontId="57" fillId="0" borderId="0" xfId="0" applyNumberFormat="1" applyFont="1" applyFill="1" applyAlignment="1">
      <alignment horizontal="center"/>
    </xf>
    <xf numFmtId="164" fontId="57" fillId="0" borderId="0" xfId="0" applyNumberFormat="1" applyFont="1" applyFill="1"/>
    <xf numFmtId="0" fontId="57" fillId="0" borderId="0" xfId="0" applyFont="1" applyFill="1"/>
    <xf numFmtId="0" fontId="18" fillId="0" borderId="2" xfId="0" applyFont="1" applyBorder="1" applyAlignment="1" applyProtection="1">
      <alignment horizontal="center"/>
    </xf>
    <xf numFmtId="0" fontId="19" fillId="0" borderId="2" xfId="0" applyFont="1" applyFill="1" applyBorder="1" applyAlignment="1" applyProtection="1">
      <alignment horizontal="center"/>
    </xf>
    <xf numFmtId="1" fontId="18" fillId="0" borderId="2" xfId="4" applyNumberFormat="1" applyFont="1" applyBorder="1" applyAlignment="1">
      <alignment horizontal="center"/>
    </xf>
    <xf numFmtId="1" fontId="0" fillId="0" borderId="2" xfId="0" applyNumberFormat="1" applyBorder="1" applyAlignment="1">
      <alignment horizontal="center"/>
    </xf>
    <xf numFmtId="0" fontId="21" fillId="0" borderId="2" xfId="0" applyFont="1" applyBorder="1" applyAlignment="1" applyProtection="1">
      <alignment horizontal="center"/>
    </xf>
    <xf numFmtId="0" fontId="60" fillId="0" borderId="0" xfId="0" applyFont="1"/>
    <xf numFmtId="0" fontId="60" fillId="0" borderId="0" xfId="0" applyFont="1" applyAlignment="1">
      <alignment wrapText="1"/>
    </xf>
    <xf numFmtId="165" fontId="60" fillId="0" borderId="2" xfId="0" applyNumberFormat="1" applyFont="1" applyBorder="1" applyAlignment="1">
      <alignment horizontal="right"/>
    </xf>
    <xf numFmtId="2" fontId="25" fillId="0" borderId="2" xfId="0" applyNumberFormat="1" applyFont="1" applyBorder="1"/>
    <xf numFmtId="164" fontId="25" fillId="0" borderId="2" xfId="0" applyNumberFormat="1" applyFont="1" applyBorder="1"/>
    <xf numFmtId="2" fontId="60" fillId="0" borderId="2" xfId="0" applyNumberFormat="1" applyFont="1" applyBorder="1" applyAlignment="1">
      <alignment horizontal="right"/>
    </xf>
    <xf numFmtId="0" fontId="60" fillId="0" borderId="2" xfId="0" applyFont="1" applyBorder="1" applyAlignment="1">
      <alignment horizontal="right"/>
    </xf>
    <xf numFmtId="168" fontId="60" fillId="0" borderId="2" xfId="0" applyNumberFormat="1" applyFont="1" applyBorder="1" applyAlignment="1">
      <alignment horizontal="right"/>
    </xf>
    <xf numFmtId="44" fontId="60" fillId="0" borderId="2" xfId="0" applyNumberFormat="1" applyFont="1" applyBorder="1" applyAlignment="1">
      <alignment horizontal="right"/>
    </xf>
    <xf numFmtId="1" fontId="90" fillId="0" borderId="2" xfId="0" applyNumberFormat="1" applyFont="1" applyBorder="1" applyAlignment="1">
      <alignment horizontal="center"/>
    </xf>
    <xf numFmtId="1" fontId="90" fillId="0" borderId="4" xfId="0" applyNumberFormat="1" applyFont="1" applyBorder="1" applyAlignment="1">
      <alignment horizontal="center"/>
    </xf>
    <xf numFmtId="1" fontId="71" fillId="0" borderId="2" xfId="0" applyNumberFormat="1" applyFont="1" applyFill="1" applyBorder="1" applyAlignment="1" applyProtection="1">
      <alignment horizontal="center"/>
    </xf>
    <xf numFmtId="1" fontId="60" fillId="0" borderId="0" xfId="0" applyNumberFormat="1" applyFont="1" applyAlignment="1" applyProtection="1">
      <alignment horizontal="center"/>
    </xf>
    <xf numFmtId="1" fontId="90" fillId="0" borderId="5" xfId="0" applyNumberFormat="1" applyFont="1" applyBorder="1" applyAlignment="1">
      <alignment horizontal="center"/>
    </xf>
    <xf numFmtId="0" fontId="83" fillId="0" borderId="0" xfId="0" applyFont="1" applyAlignment="1"/>
    <xf numFmtId="0" fontId="83" fillId="0" borderId="1" xfId="0" applyFont="1" applyBorder="1" applyAlignment="1">
      <alignment horizontal="left"/>
    </xf>
    <xf numFmtId="1" fontId="91" fillId="0" borderId="0" xfId="0" applyNumberFormat="1" applyFont="1" applyAlignment="1" applyProtection="1">
      <alignment horizontal="center"/>
    </xf>
    <xf numFmtId="0" fontId="83" fillId="0" borderId="0" xfId="0" applyFont="1" applyFill="1"/>
    <xf numFmtId="0" fontId="25" fillId="0" borderId="0" xfId="0" applyFont="1" applyFill="1"/>
    <xf numFmtId="164" fontId="71" fillId="0" borderId="0" xfId="0" applyNumberFormat="1" applyFont="1" applyFill="1" applyBorder="1" applyAlignment="1" applyProtection="1">
      <alignment horizontal="center"/>
    </xf>
    <xf numFmtId="0" fontId="94" fillId="0" borderId="0" xfId="0" applyFont="1"/>
    <xf numFmtId="0" fontId="38" fillId="0" borderId="0" xfId="106" applyFont="1" applyAlignment="1"/>
    <xf numFmtId="0" fontId="18" fillId="0" borderId="0" xfId="0" applyFont="1" applyFill="1" applyBorder="1" applyAlignment="1">
      <alignment horizontal="center"/>
    </xf>
    <xf numFmtId="0" fontId="18" fillId="5" borderId="2" xfId="4" applyFont="1" applyFill="1" applyBorder="1" applyAlignment="1">
      <alignment horizontal="center"/>
    </xf>
    <xf numFmtId="1" fontId="18" fillId="5" borderId="2" xfId="4" applyNumberFormat="1" applyFont="1" applyFill="1" applyBorder="1" applyAlignment="1">
      <alignment horizontal="center"/>
    </xf>
    <xf numFmtId="0" fontId="19" fillId="5" borderId="2" xfId="4" applyFont="1" applyFill="1" applyBorder="1" applyAlignment="1">
      <alignment horizontal="center"/>
    </xf>
    <xf numFmtId="1" fontId="19" fillId="5" borderId="2" xfId="4" applyNumberFormat="1" applyFont="1" applyFill="1" applyBorder="1" applyAlignment="1">
      <alignment horizontal="center"/>
    </xf>
    <xf numFmtId="0" fontId="46" fillId="0" borderId="9" xfId="4" applyFont="1" applyBorder="1"/>
    <xf numFmtId="0" fontId="19" fillId="5" borderId="2" xfId="4" applyFont="1" applyFill="1" applyBorder="1" applyAlignment="1">
      <alignment horizontal="left"/>
    </xf>
    <xf numFmtId="0" fontId="46" fillId="0" borderId="2" xfId="4" applyFont="1" applyBorder="1" applyAlignment="1"/>
    <xf numFmtId="0" fontId="19" fillId="0" borderId="2" xfId="4" applyFont="1" applyBorder="1" applyAlignment="1"/>
    <xf numFmtId="0" fontId="19" fillId="0" borderId="2" xfId="4" applyFont="1" applyBorder="1"/>
    <xf numFmtId="0" fontId="19" fillId="0" borderId="2" xfId="5" applyFont="1" applyBorder="1" applyAlignment="1"/>
    <xf numFmtId="0" fontId="46" fillId="0" borderId="9" xfId="4" applyFont="1" applyBorder="1" applyAlignment="1">
      <alignment horizontal="left"/>
    </xf>
    <xf numFmtId="0" fontId="0" fillId="0" borderId="2" xfId="0" applyBorder="1"/>
    <xf numFmtId="1" fontId="45" fillId="0" borderId="0" xfId="0" applyNumberFormat="1" applyFont="1" applyBorder="1"/>
    <xf numFmtId="0" fontId="19" fillId="0" borderId="0" xfId="0" applyFont="1" applyBorder="1"/>
    <xf numFmtId="0" fontId="21" fillId="0" borderId="0" xfId="0" applyFont="1" applyBorder="1" applyProtection="1"/>
    <xf numFmtId="1" fontId="21" fillId="0" borderId="0" xfId="0" applyNumberFormat="1" applyFont="1" applyBorder="1" applyProtection="1"/>
    <xf numFmtId="0" fontId="21" fillId="0" borderId="0" xfId="0" applyFont="1" applyBorder="1" applyAlignment="1" applyProtection="1">
      <alignment horizontal="center"/>
    </xf>
    <xf numFmtId="1" fontId="0" fillId="0" borderId="0" xfId="0" applyNumberFormat="1" applyBorder="1" applyProtection="1"/>
    <xf numFmtId="0" fontId="65" fillId="0" borderId="0" xfId="0" applyFont="1" applyBorder="1"/>
    <xf numFmtId="1" fontId="19" fillId="0" borderId="0" xfId="0" applyNumberFormat="1" applyFont="1" applyBorder="1"/>
    <xf numFmtId="0" fontId="19" fillId="0" borderId="0" xfId="0" applyFont="1" applyBorder="1" applyAlignment="1">
      <alignment horizontal="center"/>
    </xf>
    <xf numFmtId="44" fontId="60" fillId="0" borderId="2" xfId="6" applyFont="1" applyBorder="1" applyAlignment="1">
      <alignment horizontal="right"/>
    </xf>
    <xf numFmtId="164" fontId="25" fillId="0" borderId="2" xfId="4" applyNumberFormat="1" applyFont="1" applyBorder="1" applyAlignment="1">
      <alignment horizontal="center"/>
    </xf>
    <xf numFmtId="164" fontId="25" fillId="0" borderId="2" xfId="4" applyNumberFormat="1" applyFont="1" applyFill="1" applyBorder="1" applyAlignment="1">
      <alignment horizontal="center"/>
    </xf>
    <xf numFmtId="0" fontId="60" fillId="0" borderId="0" xfId="4" applyFont="1" applyAlignment="1">
      <alignment wrapText="1"/>
    </xf>
    <xf numFmtId="0" fontId="25" fillId="0" borderId="0" xfId="4" applyFont="1" applyAlignment="1">
      <alignment wrapText="1"/>
    </xf>
    <xf numFmtId="0" fontId="83" fillId="0" borderId="0" xfId="4" applyFont="1" applyAlignment="1">
      <alignment wrapText="1"/>
    </xf>
    <xf numFmtId="0" fontId="2" fillId="0" borderId="2" xfId="793" applyBorder="1"/>
    <xf numFmtId="2" fontId="57" fillId="0" borderId="2" xfId="4" applyNumberFormat="1" applyFont="1" applyFill="1" applyBorder="1" applyAlignment="1" applyProtection="1">
      <alignment horizontal="center"/>
    </xf>
    <xf numFmtId="2" fontId="57" fillId="0" borderId="2" xfId="4" applyNumberFormat="1" applyFont="1" applyBorder="1" applyAlignment="1">
      <alignment horizontal="center"/>
    </xf>
    <xf numFmtId="0" fontId="1" fillId="0" borderId="2" xfId="40" applyFont="1" applyBorder="1"/>
    <xf numFmtId="0" fontId="97" fillId="0" borderId="0" xfId="0" applyFont="1" applyProtection="1"/>
    <xf numFmtId="0" fontId="91" fillId="6" borderId="10" xfId="0" applyFont="1" applyFill="1" applyBorder="1"/>
    <xf numFmtId="0" fontId="25" fillId="6" borderId="11" xfId="0" applyFont="1" applyFill="1" applyBorder="1"/>
    <xf numFmtId="0" fontId="18" fillId="6" borderId="11" xfId="4" applyFont="1" applyFill="1" applyBorder="1" applyAlignment="1">
      <alignment horizontal="left"/>
    </xf>
    <xf numFmtId="0" fontId="38" fillId="0" borderId="2" xfId="0" applyFont="1" applyBorder="1"/>
    <xf numFmtId="0" fontId="22" fillId="0" borderId="0" xfId="0" applyFont="1" applyFill="1" applyBorder="1" applyAlignment="1" applyProtection="1">
      <alignment horizontal="left" wrapText="1"/>
    </xf>
    <xf numFmtId="0" fontId="44" fillId="0" borderId="2" xfId="1" applyFont="1" applyFill="1" applyBorder="1" applyAlignment="1">
      <alignment horizontal="center"/>
    </xf>
    <xf numFmtId="0" fontId="59" fillId="0" borderId="0" xfId="0" applyFont="1" applyAlignment="1">
      <alignment horizontal="left" wrapText="1"/>
    </xf>
    <xf numFmtId="0" fontId="98" fillId="0" borderId="0" xfId="0" applyFont="1" applyBorder="1" applyAlignment="1">
      <alignment horizontal="left" wrapText="1"/>
    </xf>
    <xf numFmtId="0" fontId="38" fillId="5" borderId="2" xfId="0" applyFont="1" applyFill="1" applyBorder="1" applyAlignment="1" applyProtection="1">
      <alignment horizontal="center"/>
    </xf>
    <xf numFmtId="164" fontId="9" fillId="0" borderId="2" xfId="40" applyNumberFormat="1" applyBorder="1"/>
    <xf numFmtId="0" fontId="38" fillId="5" borderId="2" xfId="0" applyFont="1" applyFill="1" applyBorder="1" applyAlignment="1" applyProtection="1">
      <alignment horizontal="center" wrapText="1"/>
    </xf>
    <xf numFmtId="0" fontId="64" fillId="0" borderId="0" xfId="0" applyFont="1"/>
    <xf numFmtId="0" fontId="99" fillId="0" borderId="0" xfId="0" applyFont="1" applyFill="1" applyAlignment="1">
      <alignment wrapText="1"/>
    </xf>
    <xf numFmtId="0" fontId="64" fillId="0" borderId="0" xfId="0" applyFont="1" applyFill="1" applyAlignment="1">
      <alignment horizontal="center"/>
    </xf>
    <xf numFmtId="0" fontId="64" fillId="0" borderId="0" xfId="0" applyFont="1" applyFill="1"/>
    <xf numFmtId="0" fontId="100" fillId="0" borderId="0" xfId="0" applyFont="1" applyFill="1"/>
    <xf numFmtId="0" fontId="64" fillId="0" borderId="0" xfId="0" applyFont="1" applyAlignment="1">
      <alignment horizontal="center"/>
    </xf>
    <xf numFmtId="0" fontId="100" fillId="0" borderId="0" xfId="0" applyFont="1"/>
    <xf numFmtId="0" fontId="27" fillId="0" borderId="0" xfId="0" applyFont="1" applyFill="1" applyAlignment="1">
      <alignment horizontal="center"/>
    </xf>
    <xf numFmtId="0" fontId="64" fillId="0" borderId="0" xfId="0" applyFont="1" applyAlignment="1">
      <alignment horizontal="right"/>
    </xf>
    <xf numFmtId="0" fontId="101" fillId="0" borderId="0" xfId="0" applyFont="1" applyFill="1" applyBorder="1" applyAlignment="1" applyProtection="1">
      <alignment horizontal="center" wrapText="1"/>
    </xf>
    <xf numFmtId="0" fontId="99" fillId="0" borderId="0" xfId="0" applyFont="1" applyFill="1" applyAlignment="1" applyProtection="1">
      <alignment horizontal="center"/>
    </xf>
    <xf numFmtId="0" fontId="99" fillId="0" borderId="0" xfId="0" applyFont="1" applyFill="1" applyAlignment="1">
      <alignment horizontal="center"/>
    </xf>
    <xf numFmtId="0" fontId="64" fillId="0" borderId="2" xfId="0" applyFont="1" applyBorder="1"/>
    <xf numFmtId="164" fontId="102" fillId="0" borderId="2" xfId="1" applyNumberFormat="1" applyFont="1" applyFill="1" applyBorder="1" applyAlignment="1">
      <alignment horizontal="center" wrapText="1"/>
    </xf>
    <xf numFmtId="164" fontId="102" fillId="0" borderId="2" xfId="1" applyNumberFormat="1" applyFont="1" applyFill="1" applyBorder="1" applyAlignment="1" applyProtection="1">
      <alignment horizontal="center"/>
    </xf>
    <xf numFmtId="164" fontId="64" fillId="0" borderId="2" xfId="0" applyNumberFormat="1" applyFont="1" applyBorder="1" applyAlignment="1">
      <alignment horizontal="center"/>
    </xf>
    <xf numFmtId="164" fontId="64" fillId="0" borderId="2" xfId="0" applyNumberFormat="1" applyFont="1" applyFill="1" applyBorder="1" applyAlignment="1" applyProtection="1">
      <alignment horizontal="center"/>
    </xf>
    <xf numFmtId="164" fontId="99" fillId="0" borderId="2" xfId="0" applyNumberFormat="1" applyFont="1" applyFill="1" applyBorder="1" applyAlignment="1" applyProtection="1">
      <alignment horizontal="center"/>
    </xf>
    <xf numFmtId="1" fontId="99" fillId="0" borderId="2" xfId="0" applyNumberFormat="1" applyFont="1" applyFill="1" applyBorder="1" applyAlignment="1">
      <alignment horizontal="center"/>
    </xf>
    <xf numFmtId="164" fontId="102" fillId="0" borderId="8" xfId="1" applyNumberFormat="1" applyFont="1" applyFill="1" applyBorder="1" applyAlignment="1" applyProtection="1">
      <alignment horizontal="center"/>
    </xf>
    <xf numFmtId="0" fontId="64" fillId="0" borderId="2" xfId="0" applyFont="1" applyFill="1" applyBorder="1"/>
    <xf numFmtId="164" fontId="102" fillId="0" borderId="2" xfId="1" applyNumberFormat="1" applyFont="1" applyFill="1" applyBorder="1" applyAlignment="1">
      <alignment horizontal="center"/>
    </xf>
    <xf numFmtId="164" fontId="103" fillId="0" borderId="0" xfId="0" applyNumberFormat="1" applyFont="1" applyAlignment="1">
      <alignment horizontal="center"/>
    </xf>
    <xf numFmtId="0" fontId="64" fillId="0" borderId="0" xfId="0" applyFont="1" applyAlignment="1">
      <alignment horizontal="center" vertical="top" wrapText="1"/>
    </xf>
    <xf numFmtId="0" fontId="64" fillId="0" borderId="0" xfId="0" applyFont="1" applyAlignment="1">
      <alignment horizontal="left"/>
    </xf>
    <xf numFmtId="0" fontId="99" fillId="0" borderId="0" xfId="0" applyFont="1" applyProtection="1"/>
    <xf numFmtId="164" fontId="33" fillId="0" borderId="0" xfId="0" applyNumberFormat="1" applyFont="1" applyProtection="1"/>
    <xf numFmtId="0" fontId="64" fillId="0" borderId="0" xfId="0" applyFont="1" applyProtection="1"/>
    <xf numFmtId="164" fontId="64" fillId="0" borderId="0" xfId="0" applyNumberFormat="1" applyFont="1" applyAlignment="1" applyProtection="1">
      <alignment horizontal="right"/>
    </xf>
    <xf numFmtId="164" fontId="99" fillId="0" borderId="0" xfId="0" applyNumberFormat="1" applyFont="1" applyAlignment="1">
      <alignment horizontal="center"/>
    </xf>
    <xf numFmtId="164" fontId="64" fillId="0" borderId="0" xfId="0" applyNumberFormat="1" applyFont="1" applyAlignment="1">
      <alignment horizontal="center"/>
    </xf>
    <xf numFmtId="0" fontId="64" fillId="0" borderId="0" xfId="0" applyFont="1" applyAlignment="1" applyProtection="1">
      <alignment horizontal="right"/>
    </xf>
    <xf numFmtId="0" fontId="103" fillId="0" borderId="0" xfId="0" applyFont="1" applyProtection="1"/>
    <xf numFmtId="1" fontId="103" fillId="0" borderId="0" xfId="0" applyNumberFormat="1" applyFont="1" applyAlignment="1" applyProtection="1">
      <alignment horizontal="center"/>
    </xf>
    <xf numFmtId="0" fontId="99" fillId="0" borderId="0" xfId="0" applyFont="1" applyAlignment="1" applyProtection="1">
      <alignment wrapText="1"/>
    </xf>
    <xf numFmtId="1" fontId="99" fillId="0" borderId="0" xfId="0" applyNumberFormat="1" applyFont="1" applyAlignment="1">
      <alignment horizontal="center"/>
    </xf>
    <xf numFmtId="0" fontId="99" fillId="0" borderId="0" xfId="0" applyFont="1" applyFill="1" applyBorder="1" applyAlignment="1" applyProtection="1">
      <alignment horizontal="center"/>
    </xf>
    <xf numFmtId="0" fontId="99" fillId="0" borderId="0" xfId="0" applyFont="1" applyAlignment="1">
      <alignment horizontal="center"/>
    </xf>
    <xf numFmtId="0" fontId="64" fillId="0" borderId="0" xfId="0" applyFont="1" applyFill="1" applyBorder="1" applyProtection="1"/>
    <xf numFmtId="164" fontId="108" fillId="0" borderId="0" xfId="0" applyNumberFormat="1" applyFont="1" applyAlignment="1">
      <alignment horizontal="center"/>
    </xf>
    <xf numFmtId="0" fontId="109" fillId="0" borderId="0" xfId="0" applyFont="1" applyFill="1" applyBorder="1" applyAlignment="1" applyProtection="1">
      <alignment horizontal="center"/>
    </xf>
    <xf numFmtId="0" fontId="108" fillId="0" borderId="0" xfId="0" applyFont="1" applyBorder="1" applyAlignment="1">
      <alignment horizontal="center"/>
    </xf>
    <xf numFmtId="0" fontId="108" fillId="0" borderId="0" xfId="0" applyFont="1" applyAlignment="1">
      <alignment horizontal="center"/>
    </xf>
    <xf numFmtId="0" fontId="109" fillId="0" borderId="0" xfId="0" applyFont="1" applyAlignment="1" applyProtection="1">
      <alignment horizontal="center"/>
    </xf>
    <xf numFmtId="0" fontId="99" fillId="0" borderId="0" xfId="0" applyFont="1" applyAlignment="1" applyProtection="1">
      <alignment horizontal="center"/>
    </xf>
    <xf numFmtId="0" fontId="64" fillId="0" borderId="2" xfId="0" applyFont="1" applyBorder="1" applyAlignment="1">
      <alignment horizontal="center"/>
    </xf>
    <xf numFmtId="164" fontId="99" fillId="0" borderId="0" xfId="0" applyNumberFormat="1" applyFont="1" applyAlignment="1" applyProtection="1">
      <alignment horizontal="center"/>
    </xf>
    <xf numFmtId="164" fontId="99" fillId="5" borderId="2" xfId="0" applyNumberFormat="1" applyFont="1" applyFill="1" applyBorder="1" applyAlignment="1">
      <alignment horizontal="center"/>
    </xf>
    <xf numFmtId="164" fontId="99" fillId="0" borderId="2" xfId="0" applyNumberFormat="1" applyFont="1" applyBorder="1" applyAlignment="1">
      <alignment horizontal="center"/>
    </xf>
    <xf numFmtId="1" fontId="64" fillId="0" borderId="2" xfId="0" applyNumberFormat="1" applyFont="1" applyFill="1" applyBorder="1" applyAlignment="1" applyProtection="1">
      <alignment horizontal="center"/>
    </xf>
    <xf numFmtId="1" fontId="64" fillId="0" borderId="0" xfId="0" applyNumberFormat="1" applyFont="1" applyAlignment="1" applyProtection="1">
      <alignment horizontal="center"/>
    </xf>
    <xf numFmtId="0" fontId="64" fillId="0" borderId="0" xfId="0" applyFont="1" applyAlignment="1" applyProtection="1">
      <alignment horizontal="center"/>
    </xf>
    <xf numFmtId="1" fontId="110" fillId="0" borderId="0" xfId="0" applyNumberFormat="1" applyFont="1" applyAlignment="1" applyProtection="1">
      <alignment horizontal="center"/>
    </xf>
    <xf numFmtId="0" fontId="110" fillId="0" borderId="0" xfId="0" applyFont="1" applyAlignment="1" applyProtection="1">
      <alignment horizontal="center"/>
    </xf>
    <xf numFmtId="164" fontId="111" fillId="0" borderId="0" xfId="0" applyNumberFormat="1" applyFont="1" applyAlignment="1" applyProtection="1">
      <alignment horizontal="center"/>
    </xf>
    <xf numFmtId="0" fontId="110" fillId="0" borderId="0" xfId="0" applyFont="1" applyAlignment="1">
      <alignment horizontal="center"/>
    </xf>
    <xf numFmtId="0" fontId="110" fillId="0" borderId="0" xfId="0" applyFont="1"/>
    <xf numFmtId="0" fontId="110" fillId="0" borderId="0" xfId="0" applyFont="1" applyProtection="1"/>
    <xf numFmtId="0" fontId="64" fillId="0" borderId="0" xfId="0" applyFont="1" applyFill="1" applyBorder="1"/>
    <xf numFmtId="0" fontId="64" fillId="0" borderId="0" xfId="0" applyFont="1" applyBorder="1" applyAlignment="1" applyProtection="1">
      <alignment horizontal="right"/>
    </xf>
    <xf numFmtId="1" fontId="64" fillId="0" borderId="0" xfId="0" applyNumberFormat="1" applyFont="1" applyFill="1" applyBorder="1" applyProtection="1"/>
    <xf numFmtId="0" fontId="64" fillId="0" borderId="0" xfId="0" applyFont="1" applyBorder="1"/>
    <xf numFmtId="0" fontId="64" fillId="0" borderId="0" xfId="0" applyFont="1" applyBorder="1" applyAlignment="1">
      <alignment horizontal="center"/>
    </xf>
    <xf numFmtId="164" fontId="99" fillId="0" borderId="0" xfId="0" applyNumberFormat="1" applyFont="1" applyBorder="1" applyAlignment="1" applyProtection="1">
      <alignment horizontal="center" wrapText="1"/>
    </xf>
    <xf numFmtId="164" fontId="64" fillId="0" borderId="0" xfId="0" applyNumberFormat="1" applyFont="1" applyBorder="1" applyAlignment="1">
      <alignment horizontal="center"/>
    </xf>
    <xf numFmtId="164" fontId="99" fillId="5" borderId="0" xfId="0" applyNumberFormat="1" applyFont="1" applyFill="1" applyBorder="1" applyAlignment="1">
      <alignment horizontal="center"/>
    </xf>
    <xf numFmtId="164" fontId="99" fillId="0" borderId="0" xfId="0" applyNumberFormat="1" applyFont="1" applyBorder="1" applyAlignment="1">
      <alignment horizontal="center"/>
    </xf>
    <xf numFmtId="1" fontId="64" fillId="0" borderId="0" xfId="0" applyNumberFormat="1" applyFont="1" applyFill="1" applyBorder="1" applyAlignment="1" applyProtection="1">
      <alignment horizontal="center"/>
    </xf>
    <xf numFmtId="0" fontId="99" fillId="0" borderId="0" xfId="0" applyFont="1" applyFill="1" applyBorder="1"/>
    <xf numFmtId="1" fontId="99" fillId="0" borderId="0" xfId="0" applyNumberFormat="1" applyFont="1" applyBorder="1" applyAlignment="1" applyProtection="1">
      <alignment horizontal="center"/>
    </xf>
    <xf numFmtId="164" fontId="64" fillId="0" borderId="0" xfId="0" applyNumberFormat="1" applyFont="1" applyBorder="1" applyAlignment="1" applyProtection="1">
      <alignment horizontal="center"/>
    </xf>
    <xf numFmtId="164" fontId="99" fillId="0" borderId="0" xfId="0" applyNumberFormat="1" applyFont="1" applyBorder="1" applyAlignment="1" applyProtection="1">
      <alignment horizontal="center"/>
    </xf>
    <xf numFmtId="0" fontId="99" fillId="0" borderId="0" xfId="0" applyFont="1" applyBorder="1" applyAlignment="1" applyProtection="1">
      <alignment horizontal="center" wrapText="1"/>
    </xf>
    <xf numFmtId="2" fontId="99" fillId="0" borderId="0" xfId="0" applyNumberFormat="1" applyFont="1" applyAlignment="1">
      <alignment horizontal="center"/>
    </xf>
    <xf numFmtId="0" fontId="64" fillId="0" borderId="0" xfId="0" applyFont="1" applyBorder="1" applyAlignment="1" applyProtection="1">
      <alignment horizontal="center"/>
    </xf>
    <xf numFmtId="1" fontId="64" fillId="0" borderId="0" xfId="0" applyNumberFormat="1" applyFont="1" applyBorder="1" applyAlignment="1" applyProtection="1">
      <alignment horizontal="left"/>
    </xf>
    <xf numFmtId="164" fontId="103" fillId="0" borderId="0" xfId="0" applyNumberFormat="1" applyFont="1" applyBorder="1" applyAlignment="1" applyProtection="1">
      <alignment horizontal="center"/>
    </xf>
    <xf numFmtId="1" fontId="100" fillId="0" borderId="0" xfId="0" applyNumberFormat="1" applyFont="1" applyBorder="1" applyAlignment="1" applyProtection="1">
      <alignment horizontal="left"/>
    </xf>
    <xf numFmtId="1" fontId="64" fillId="0" borderId="0" xfId="0" applyNumberFormat="1" applyFont="1" applyBorder="1" applyAlignment="1" applyProtection="1">
      <alignment horizontal="center"/>
    </xf>
    <xf numFmtId="164" fontId="64" fillId="0" borderId="0" xfId="0" applyNumberFormat="1" applyFont="1" applyBorder="1" applyAlignment="1" applyProtection="1">
      <alignment horizontal="left"/>
    </xf>
    <xf numFmtId="1" fontId="112" fillId="0" borderId="0" xfId="105" applyNumberFormat="1" applyFont="1" applyAlignment="1">
      <alignment horizontal="right"/>
    </xf>
    <xf numFmtId="164" fontId="64" fillId="0" borderId="2" xfId="0" applyNumberFormat="1" applyFont="1" applyBorder="1" applyAlignment="1" applyProtection="1">
      <alignment horizontal="center"/>
    </xf>
    <xf numFmtId="164" fontId="99" fillId="0" borderId="2" xfId="0" applyNumberFormat="1" applyFont="1" applyBorder="1" applyAlignment="1" applyProtection="1">
      <alignment horizontal="center"/>
    </xf>
    <xf numFmtId="1" fontId="64" fillId="0" borderId="0" xfId="0" applyNumberFormat="1" applyFont="1" applyBorder="1" applyAlignment="1" applyProtection="1">
      <alignment horizontal="right"/>
    </xf>
    <xf numFmtId="164" fontId="64" fillId="6" borderId="2" xfId="0" applyNumberFormat="1" applyFont="1" applyFill="1" applyBorder="1" applyAlignment="1" applyProtection="1">
      <alignment horizontal="center"/>
    </xf>
    <xf numFmtId="164" fontId="112" fillId="0" borderId="0" xfId="105" applyNumberFormat="1" applyFont="1" applyAlignment="1">
      <alignment horizontal="left"/>
    </xf>
    <xf numFmtId="164" fontId="101" fillId="0" borderId="0" xfId="105" applyNumberFormat="1" applyFont="1" applyAlignment="1">
      <alignment horizontal="center"/>
    </xf>
    <xf numFmtId="1" fontId="99" fillId="0" borderId="0" xfId="0" applyNumberFormat="1" applyFont="1" applyBorder="1" applyAlignment="1" applyProtection="1">
      <alignment horizontal="right"/>
    </xf>
    <xf numFmtId="164" fontId="99" fillId="0" borderId="0" xfId="0" quotePrefix="1" applyNumberFormat="1" applyFont="1" applyBorder="1" applyAlignment="1" applyProtection="1">
      <alignment horizontal="center"/>
    </xf>
    <xf numFmtId="1" fontId="103" fillId="0" borderId="0" xfId="0" applyNumberFormat="1" applyFont="1" applyBorder="1" applyAlignment="1" applyProtection="1">
      <alignment horizontal="center"/>
    </xf>
    <xf numFmtId="0" fontId="100" fillId="0" borderId="0" xfId="0" applyFont="1" applyBorder="1"/>
    <xf numFmtId="0" fontId="100" fillId="0" borderId="0" xfId="0" applyFont="1" applyFill="1" applyBorder="1"/>
    <xf numFmtId="0" fontId="64" fillId="0" borderId="2" xfId="0" applyFont="1" applyFill="1" applyBorder="1" applyAlignment="1">
      <alignment horizontal="center"/>
    </xf>
    <xf numFmtId="164" fontId="64" fillId="0" borderId="0" xfId="0" applyNumberFormat="1" applyFont="1"/>
    <xf numFmtId="0" fontId="111" fillId="0" borderId="0" xfId="0" applyFont="1"/>
    <xf numFmtId="0" fontId="64" fillId="0" borderId="0" xfId="0" applyFont="1" applyAlignment="1"/>
    <xf numFmtId="0" fontId="33" fillId="0" borderId="0" xfId="0" applyFont="1" applyProtection="1"/>
    <xf numFmtId="2" fontId="64" fillId="0" borderId="0" xfId="0" applyNumberFormat="1" applyFont="1" applyFill="1" applyBorder="1" applyProtection="1"/>
    <xf numFmtId="164" fontId="64" fillId="0" borderId="0" xfId="0" applyNumberFormat="1" applyFont="1" applyProtection="1"/>
    <xf numFmtId="164" fontId="99" fillId="0" borderId="0" xfId="0" applyNumberFormat="1" applyFont="1" applyProtection="1"/>
    <xf numFmtId="164" fontId="64" fillId="0" borderId="0" xfId="0" applyNumberFormat="1" applyFont="1" applyFill="1" applyBorder="1" applyProtection="1"/>
    <xf numFmtId="0" fontId="99" fillId="0" borderId="0" xfId="0" applyFont="1" applyAlignment="1" applyProtection="1">
      <alignment horizontal="left"/>
    </xf>
    <xf numFmtId="0" fontId="99" fillId="0" borderId="0" xfId="0" applyFont="1" applyFill="1" applyBorder="1" applyProtection="1"/>
    <xf numFmtId="0" fontId="103" fillId="0" borderId="0" xfId="0" applyFont="1" applyFill="1" applyBorder="1" applyAlignment="1" applyProtection="1">
      <alignment horizontal="center" wrapText="1"/>
    </xf>
    <xf numFmtId="164" fontId="109" fillId="0" borderId="0" xfId="0" applyNumberFormat="1" applyFont="1" applyFill="1" applyBorder="1" applyAlignment="1" applyProtection="1">
      <alignment horizontal="center" wrapText="1"/>
    </xf>
    <xf numFmtId="0" fontId="109" fillId="0" borderId="0" xfId="0" applyFont="1" applyFill="1" applyBorder="1" applyAlignment="1" applyProtection="1">
      <alignment horizontal="center" wrapText="1"/>
    </xf>
    <xf numFmtId="0" fontId="99" fillId="0" borderId="0" xfId="0" applyFont="1" applyAlignment="1" applyProtection="1">
      <alignment horizontal="center" wrapText="1"/>
    </xf>
    <xf numFmtId="0" fontId="64" fillId="0" borderId="0" xfId="0" applyFont="1" applyAlignment="1">
      <alignment wrapText="1"/>
    </xf>
    <xf numFmtId="2" fontId="100" fillId="0" borderId="2" xfId="0" applyNumberFormat="1" applyFont="1" applyBorder="1" applyAlignment="1">
      <alignment horizontal="center"/>
    </xf>
    <xf numFmtId="164" fontId="64" fillId="0" borderId="2" xfId="0" applyNumberFormat="1" applyFont="1" applyFill="1" applyBorder="1" applyAlignment="1">
      <alignment horizontal="center"/>
    </xf>
    <xf numFmtId="0" fontId="64" fillId="0" borderId="2" xfId="0" applyFont="1" applyBorder="1" applyAlignment="1" applyProtection="1">
      <alignment horizontal="center"/>
    </xf>
    <xf numFmtId="0" fontId="64" fillId="0" borderId="2" xfId="0" applyFont="1" applyBorder="1" applyAlignment="1">
      <alignment horizontal="left"/>
    </xf>
    <xf numFmtId="164" fontId="99" fillId="0" borderId="0" xfId="0" applyNumberFormat="1" applyFont="1"/>
    <xf numFmtId="2" fontId="64" fillId="0" borderId="2" xfId="0" applyNumberFormat="1" applyFont="1" applyBorder="1" applyAlignment="1">
      <alignment horizontal="center"/>
    </xf>
    <xf numFmtId="0" fontId="113" fillId="0" borderId="2" xfId="0" applyFont="1" applyBorder="1"/>
    <xf numFmtId="0" fontId="113" fillId="0" borderId="0" xfId="0" applyFont="1" applyAlignment="1">
      <alignment vertical="center" wrapText="1"/>
    </xf>
    <xf numFmtId="0" fontId="100" fillId="0" borderId="0" xfId="0" applyFont="1" applyProtection="1"/>
    <xf numFmtId="164" fontId="100" fillId="0" borderId="0" xfId="0" applyNumberFormat="1" applyFont="1"/>
    <xf numFmtId="0" fontId="100" fillId="0" borderId="0" xfId="0" applyFont="1" applyFill="1" applyBorder="1" applyAlignment="1">
      <alignment horizontal="center"/>
    </xf>
    <xf numFmtId="0" fontId="64" fillId="0" borderId="0" xfId="0" applyFont="1" applyFill="1" applyBorder="1" applyAlignment="1">
      <alignment horizontal="center"/>
    </xf>
    <xf numFmtId="0" fontId="38" fillId="0" borderId="0" xfId="0" applyFont="1" applyBorder="1" applyAlignment="1">
      <alignment horizontal="left" wrapText="1"/>
    </xf>
    <xf numFmtId="0" fontId="60" fillId="0" borderId="0" xfId="0" applyFont="1" applyAlignment="1">
      <alignment vertical="center"/>
    </xf>
    <xf numFmtId="1" fontId="114" fillId="0" borderId="2" xfId="0" applyNumberFormat="1" applyFont="1" applyBorder="1" applyAlignment="1">
      <alignment vertical="center" wrapText="1"/>
    </xf>
    <xf numFmtId="0" fontId="0" fillId="0" borderId="2" xfId="0" applyBorder="1" applyAlignment="1">
      <alignment vertical="center"/>
    </xf>
    <xf numFmtId="0" fontId="18" fillId="0" borderId="0" xfId="0" applyFont="1" applyBorder="1"/>
    <xf numFmtId="0" fontId="60" fillId="0" borderId="2" xfId="0" applyFont="1" applyBorder="1" applyAlignment="1" applyProtection="1">
      <alignment horizontal="left" vertical="center" wrapText="1"/>
    </xf>
    <xf numFmtId="0" fontId="60" fillId="0" borderId="2" xfId="0" applyFont="1" applyFill="1" applyBorder="1" applyAlignment="1" applyProtection="1">
      <alignment horizontal="left" vertical="center" wrapText="1"/>
    </xf>
    <xf numFmtId="0" fontId="51" fillId="0" borderId="0" xfId="0" applyFont="1" applyAlignment="1">
      <alignment horizontal="left"/>
    </xf>
    <xf numFmtId="0" fontId="51" fillId="0" borderId="0" xfId="0" applyFont="1" applyAlignment="1">
      <alignment horizontal="left" wrapText="1"/>
    </xf>
    <xf numFmtId="0" fontId="44" fillId="0" borderId="0" xfId="1" applyFont="1" applyFill="1" applyBorder="1" applyAlignment="1" applyProtection="1">
      <alignment horizontal="left" wrapText="1"/>
    </xf>
    <xf numFmtId="0" fontId="51" fillId="0" borderId="0" xfId="0" applyFont="1" applyProtection="1"/>
    <xf numFmtId="49" fontId="38" fillId="0" borderId="0" xfId="0" applyNumberFormat="1" applyFont="1" applyAlignment="1">
      <alignment horizontal="center"/>
    </xf>
    <xf numFmtId="0" fontId="48" fillId="0" borderId="0" xfId="3" applyFont="1" applyBorder="1" applyAlignment="1">
      <alignment horizontal="left"/>
    </xf>
    <xf numFmtId="0" fontId="60" fillId="0" borderId="2" xfId="3" applyFont="1" applyBorder="1" applyAlignment="1">
      <alignment horizontal="left" wrapText="1"/>
    </xf>
    <xf numFmtId="49" fontId="60" fillId="0" borderId="2" xfId="1" applyNumberFormat="1" applyFont="1" applyFill="1" applyBorder="1" applyAlignment="1"/>
    <xf numFmtId="0" fontId="60" fillId="0" borderId="2" xfId="1" applyFont="1" applyFill="1" applyBorder="1" applyAlignment="1"/>
    <xf numFmtId="0" fontId="60" fillId="0" borderId="2" xfId="3" applyFont="1" applyBorder="1" applyAlignment="1"/>
    <xf numFmtId="0" fontId="96" fillId="0" borderId="0" xfId="0" applyFont="1" applyBorder="1" applyAlignment="1">
      <alignment wrapText="1"/>
    </xf>
    <xf numFmtId="0" fontId="18" fillId="0" borderId="0" xfId="0" applyFont="1" applyBorder="1"/>
    <xf numFmtId="0" fontId="60" fillId="0" borderId="6" xfId="1" applyFont="1" applyFill="1" applyBorder="1" applyAlignment="1">
      <alignment horizontal="left"/>
    </xf>
    <xf numFmtId="0" fontId="60" fillId="0" borderId="7" xfId="1" applyFont="1" applyFill="1" applyBorder="1" applyAlignment="1">
      <alignment horizontal="left"/>
    </xf>
    <xf numFmtId="0" fontId="60" fillId="0" borderId="4" xfId="1" applyFont="1" applyFill="1" applyBorder="1" applyAlignment="1">
      <alignment horizontal="left"/>
    </xf>
    <xf numFmtId="0" fontId="70" fillId="0" borderId="6" xfId="1" applyFont="1" applyFill="1" applyBorder="1" applyAlignment="1">
      <alignment horizontal="left"/>
    </xf>
    <xf numFmtId="0" fontId="70" fillId="0" borderId="7" xfId="1" applyFont="1" applyFill="1" applyBorder="1" applyAlignment="1">
      <alignment horizontal="left"/>
    </xf>
    <xf numFmtId="0" fontId="70" fillId="0" borderId="4" xfId="1" applyFont="1" applyFill="1" applyBorder="1" applyAlignment="1">
      <alignment horizontal="left"/>
    </xf>
    <xf numFmtId="0" fontId="19" fillId="0" borderId="6" xfId="0" applyFont="1" applyBorder="1" applyAlignment="1">
      <alignment horizontal="left"/>
    </xf>
    <xf numFmtId="0" fontId="19" fillId="0" borderId="7" xfId="0" applyFont="1" applyBorder="1" applyAlignment="1">
      <alignment horizontal="left"/>
    </xf>
    <xf numFmtId="0" fontId="19" fillId="0" borderId="4" xfId="0" applyFont="1" applyBorder="1" applyAlignment="1">
      <alignment horizontal="left"/>
    </xf>
    <xf numFmtId="0" fontId="60" fillId="0" borderId="2" xfId="3" applyFont="1" applyBorder="1" applyAlignment="1">
      <alignment horizontal="left"/>
    </xf>
    <xf numFmtId="49" fontId="60" fillId="0" borderId="2" xfId="3" applyNumberFormat="1" applyFont="1" applyBorder="1" applyAlignment="1">
      <alignment wrapText="1"/>
    </xf>
    <xf numFmtId="0" fontId="60" fillId="0" borderId="2" xfId="3" applyFont="1" applyBorder="1" applyAlignment="1">
      <alignment wrapText="1"/>
    </xf>
    <xf numFmtId="0" fontId="65" fillId="5" borderId="6" xfId="0" applyFont="1" applyFill="1" applyBorder="1" applyAlignment="1">
      <alignment horizontal="left"/>
    </xf>
    <xf numFmtId="0" fontId="65" fillId="5" borderId="7" xfId="0" applyFont="1" applyFill="1" applyBorder="1" applyAlignment="1">
      <alignment horizontal="left"/>
    </xf>
    <xf numFmtId="0" fontId="65" fillId="5" borderId="4" xfId="0" applyFont="1" applyFill="1" applyBorder="1" applyAlignment="1">
      <alignment horizontal="left"/>
    </xf>
    <xf numFmtId="0" fontId="60" fillId="0" borderId="6" xfId="0" applyFont="1" applyBorder="1" applyAlignment="1">
      <alignment horizontal="left"/>
    </xf>
    <xf numFmtId="0" fontId="60" fillId="0" borderId="7" xfId="0" applyFont="1" applyBorder="1" applyAlignment="1">
      <alignment horizontal="left"/>
    </xf>
    <xf numFmtId="0" fontId="60" fillId="0" borderId="4" xfId="0" applyFont="1" applyBorder="1" applyAlignment="1">
      <alignment horizontal="left"/>
    </xf>
    <xf numFmtId="0" fontId="60" fillId="0" borderId="6" xfId="3" applyFont="1" applyBorder="1" applyAlignment="1">
      <alignment horizontal="left" vertical="center" wrapText="1"/>
    </xf>
    <xf numFmtId="0" fontId="60" fillId="0" borderId="7" xfId="3" applyFont="1" applyBorder="1" applyAlignment="1">
      <alignment horizontal="left" vertical="center" wrapText="1"/>
    </xf>
    <xf numFmtId="0" fontId="60" fillId="0" borderId="4" xfId="3" applyFont="1" applyBorder="1" applyAlignment="1">
      <alignment horizontal="left" vertical="center" wrapText="1"/>
    </xf>
    <xf numFmtId="0" fontId="106" fillId="0" borderId="0" xfId="0" applyFont="1" applyAlignment="1">
      <alignment horizontal="center" vertical="top" wrapText="1"/>
    </xf>
    <xf numFmtId="0" fontId="99" fillId="0" borderId="0" xfId="0" applyFont="1" applyAlignment="1">
      <alignment horizontal="center" vertical="top" wrapText="1"/>
    </xf>
    <xf numFmtId="0" fontId="64" fillId="0" borderId="0" xfId="0" applyFont="1" applyAlignment="1">
      <alignment horizontal="center" vertical="top" wrapText="1"/>
    </xf>
    <xf numFmtId="0" fontId="107" fillId="0" borderId="0" xfId="0" applyFont="1" applyAlignment="1">
      <alignment horizontal="center" vertical="top" wrapText="1"/>
    </xf>
    <xf numFmtId="0" fontId="105" fillId="0" borderId="0" xfId="0" applyFont="1" applyAlignment="1">
      <alignment horizontal="center" vertical="top" wrapText="1"/>
    </xf>
    <xf numFmtId="0" fontId="33" fillId="0" borderId="0" xfId="0" applyFont="1" applyAlignment="1">
      <alignment horizontal="center" vertical="top" wrapText="1"/>
    </xf>
    <xf numFmtId="0" fontId="104" fillId="0" borderId="0" xfId="0" applyFont="1" applyAlignment="1">
      <alignment horizontal="center" vertical="top" wrapText="1"/>
    </xf>
    <xf numFmtId="0" fontId="19" fillId="0" borderId="0" xfId="0" applyFont="1" applyAlignment="1">
      <alignment horizontal="center"/>
    </xf>
    <xf numFmtId="0" fontId="56" fillId="0" borderId="0" xfId="0" applyFont="1" applyAlignment="1" applyProtection="1">
      <alignment horizontal="left" wrapText="1"/>
    </xf>
    <xf numFmtId="165" fontId="23" fillId="0" borderId="0" xfId="0" applyNumberFormat="1" applyFont="1" applyFill="1" applyBorder="1" applyAlignment="1" applyProtection="1">
      <alignment horizontal="left"/>
    </xf>
  </cellXfs>
  <cellStyles count="794">
    <cellStyle name="Bad" xfId="1" builtinId="27"/>
    <cellStyle name="Bad 2" xfId="108" xr:uid="{00000000-0005-0000-0000-000001000000}"/>
    <cellStyle name="Currency" xfId="2" builtinId="4"/>
    <cellStyle name="Currency 2" xfId="6" xr:uid="{00000000-0005-0000-0000-000003000000}"/>
    <cellStyle name="Currency 3" xfId="109" xr:uid="{00000000-0005-0000-0000-000004000000}"/>
    <cellStyle name="Hyperlink" xfId="5" builtinId="8"/>
    <cellStyle name="Hyperlink 2" xfId="19" xr:uid="{00000000-0005-0000-0000-000006000000}"/>
    <cellStyle name="Hyperlink 2 2" xfId="36" xr:uid="{00000000-0005-0000-0000-000007000000}"/>
    <cellStyle name="Normal" xfId="0" builtinId="0"/>
    <cellStyle name="Normal 2" xfId="3" xr:uid="{00000000-0005-0000-0000-000009000000}"/>
    <cellStyle name="Normal 2 10" xfId="73" xr:uid="{00000000-0005-0000-0000-00000A000000}"/>
    <cellStyle name="Normal 2 10 2" xfId="175" xr:uid="{00000000-0005-0000-0000-00000B000000}"/>
    <cellStyle name="Normal 2 10 2 2" xfId="371" xr:uid="{00000000-0005-0000-0000-00000C000000}"/>
    <cellStyle name="Normal 2 10 2 3" xfId="567" xr:uid="{00000000-0005-0000-0000-00000D000000}"/>
    <cellStyle name="Normal 2 10 2 4" xfId="761" xr:uid="{00000000-0005-0000-0000-00000E000000}"/>
    <cellStyle name="Normal 2 10 3" xfId="273" xr:uid="{00000000-0005-0000-0000-00000F000000}"/>
    <cellStyle name="Normal 2 10 4" xfId="469" xr:uid="{00000000-0005-0000-0000-000010000000}"/>
    <cellStyle name="Normal 2 10 5" xfId="664" xr:uid="{00000000-0005-0000-0000-000011000000}"/>
    <cellStyle name="Normal 2 11" xfId="106" xr:uid="{00000000-0005-0000-0000-000012000000}"/>
    <cellStyle name="Normal 2 11 2" xfId="305" xr:uid="{00000000-0005-0000-0000-000013000000}"/>
    <cellStyle name="Normal 2 12" xfId="110" xr:uid="{00000000-0005-0000-0000-000014000000}"/>
    <cellStyle name="Normal 2 12 2" xfId="306" xr:uid="{00000000-0005-0000-0000-000015000000}"/>
    <cellStyle name="Normal 2 12 3" xfId="502" xr:uid="{00000000-0005-0000-0000-000016000000}"/>
    <cellStyle name="Normal 2 12 4" xfId="696" xr:uid="{00000000-0005-0000-0000-000017000000}"/>
    <cellStyle name="Normal 2 13" xfId="208" xr:uid="{00000000-0005-0000-0000-000018000000}"/>
    <cellStyle name="Normal 2 14" xfId="404" xr:uid="{00000000-0005-0000-0000-000019000000}"/>
    <cellStyle name="Normal 2 15" xfId="599" xr:uid="{00000000-0005-0000-0000-00001A000000}"/>
    <cellStyle name="Normal 2 2" xfId="7" xr:uid="{00000000-0005-0000-0000-00001B000000}"/>
    <cellStyle name="Normal 2 2 10" xfId="405" xr:uid="{00000000-0005-0000-0000-00001C000000}"/>
    <cellStyle name="Normal 2 2 11" xfId="600" xr:uid="{00000000-0005-0000-0000-00001D000000}"/>
    <cellStyle name="Normal 2 2 2" xfId="11" xr:uid="{00000000-0005-0000-0000-00001E000000}"/>
    <cellStyle name="Normal 2 2 2 2" xfId="28" xr:uid="{00000000-0005-0000-0000-00001F000000}"/>
    <cellStyle name="Normal 2 2 2 2 2" xfId="62" xr:uid="{00000000-0005-0000-0000-000020000000}"/>
    <cellStyle name="Normal 2 2 2 2 2 2" xfId="164" xr:uid="{00000000-0005-0000-0000-000021000000}"/>
    <cellStyle name="Normal 2 2 2 2 2 2 2" xfId="360" xr:uid="{00000000-0005-0000-0000-000022000000}"/>
    <cellStyle name="Normal 2 2 2 2 2 2 3" xfId="556" xr:uid="{00000000-0005-0000-0000-000023000000}"/>
    <cellStyle name="Normal 2 2 2 2 2 2 4" xfId="750" xr:uid="{00000000-0005-0000-0000-000024000000}"/>
    <cellStyle name="Normal 2 2 2 2 2 3" xfId="262" xr:uid="{00000000-0005-0000-0000-000025000000}"/>
    <cellStyle name="Normal 2 2 2 2 2 4" xfId="458" xr:uid="{00000000-0005-0000-0000-000026000000}"/>
    <cellStyle name="Normal 2 2 2 2 2 5" xfId="653" xr:uid="{00000000-0005-0000-0000-000027000000}"/>
    <cellStyle name="Normal 2 2 2 2 3" xfId="94" xr:uid="{00000000-0005-0000-0000-000028000000}"/>
    <cellStyle name="Normal 2 2 2 2 3 2" xfId="196" xr:uid="{00000000-0005-0000-0000-000029000000}"/>
    <cellStyle name="Normal 2 2 2 2 3 2 2" xfId="392" xr:uid="{00000000-0005-0000-0000-00002A000000}"/>
    <cellStyle name="Normal 2 2 2 2 3 2 3" xfId="588" xr:uid="{00000000-0005-0000-0000-00002B000000}"/>
    <cellStyle name="Normal 2 2 2 2 3 2 4" xfId="782" xr:uid="{00000000-0005-0000-0000-00002C000000}"/>
    <cellStyle name="Normal 2 2 2 2 3 3" xfId="294" xr:uid="{00000000-0005-0000-0000-00002D000000}"/>
    <cellStyle name="Normal 2 2 2 2 3 4" xfId="490" xr:uid="{00000000-0005-0000-0000-00002E000000}"/>
    <cellStyle name="Normal 2 2 2 2 3 5" xfId="685" xr:uid="{00000000-0005-0000-0000-00002F000000}"/>
    <cellStyle name="Normal 2 2 2 2 4" xfId="131" xr:uid="{00000000-0005-0000-0000-000030000000}"/>
    <cellStyle name="Normal 2 2 2 2 4 2" xfId="327" xr:uid="{00000000-0005-0000-0000-000031000000}"/>
    <cellStyle name="Normal 2 2 2 2 4 3" xfId="523" xr:uid="{00000000-0005-0000-0000-000032000000}"/>
    <cellStyle name="Normal 2 2 2 2 4 4" xfId="717" xr:uid="{00000000-0005-0000-0000-000033000000}"/>
    <cellStyle name="Normal 2 2 2 2 5" xfId="229" xr:uid="{00000000-0005-0000-0000-000034000000}"/>
    <cellStyle name="Normal 2 2 2 2 6" xfId="425" xr:uid="{00000000-0005-0000-0000-000035000000}"/>
    <cellStyle name="Normal 2 2 2 2 7" xfId="620" xr:uid="{00000000-0005-0000-0000-000036000000}"/>
    <cellStyle name="Normal 2 2 2 3" xfId="46" xr:uid="{00000000-0005-0000-0000-000037000000}"/>
    <cellStyle name="Normal 2 2 2 3 2" xfId="148" xr:uid="{00000000-0005-0000-0000-000038000000}"/>
    <cellStyle name="Normal 2 2 2 3 2 2" xfId="344" xr:uid="{00000000-0005-0000-0000-000039000000}"/>
    <cellStyle name="Normal 2 2 2 3 2 3" xfId="540" xr:uid="{00000000-0005-0000-0000-00003A000000}"/>
    <cellStyle name="Normal 2 2 2 3 2 4" xfId="734" xr:uid="{00000000-0005-0000-0000-00003B000000}"/>
    <cellStyle name="Normal 2 2 2 3 3" xfId="246" xr:uid="{00000000-0005-0000-0000-00003C000000}"/>
    <cellStyle name="Normal 2 2 2 3 4" xfId="442" xr:uid="{00000000-0005-0000-0000-00003D000000}"/>
    <cellStyle name="Normal 2 2 2 3 5" xfId="637" xr:uid="{00000000-0005-0000-0000-00003E000000}"/>
    <cellStyle name="Normal 2 2 2 4" xfId="78" xr:uid="{00000000-0005-0000-0000-00003F000000}"/>
    <cellStyle name="Normal 2 2 2 4 2" xfId="180" xr:uid="{00000000-0005-0000-0000-000040000000}"/>
    <cellStyle name="Normal 2 2 2 4 2 2" xfId="376" xr:uid="{00000000-0005-0000-0000-000041000000}"/>
    <cellStyle name="Normal 2 2 2 4 2 3" xfId="572" xr:uid="{00000000-0005-0000-0000-000042000000}"/>
    <cellStyle name="Normal 2 2 2 4 2 4" xfId="766" xr:uid="{00000000-0005-0000-0000-000043000000}"/>
    <cellStyle name="Normal 2 2 2 4 3" xfId="278" xr:uid="{00000000-0005-0000-0000-000044000000}"/>
    <cellStyle name="Normal 2 2 2 4 4" xfId="474" xr:uid="{00000000-0005-0000-0000-000045000000}"/>
    <cellStyle name="Normal 2 2 2 4 5" xfId="669" xr:uid="{00000000-0005-0000-0000-000046000000}"/>
    <cellStyle name="Normal 2 2 2 5" xfId="115" xr:uid="{00000000-0005-0000-0000-000047000000}"/>
    <cellStyle name="Normal 2 2 2 5 2" xfId="311" xr:uid="{00000000-0005-0000-0000-000048000000}"/>
    <cellStyle name="Normal 2 2 2 5 3" xfId="507" xr:uid="{00000000-0005-0000-0000-000049000000}"/>
    <cellStyle name="Normal 2 2 2 5 4" xfId="701" xr:uid="{00000000-0005-0000-0000-00004A000000}"/>
    <cellStyle name="Normal 2 2 2 6" xfId="213" xr:uid="{00000000-0005-0000-0000-00004B000000}"/>
    <cellStyle name="Normal 2 2 2 7" xfId="409" xr:uid="{00000000-0005-0000-0000-00004C000000}"/>
    <cellStyle name="Normal 2 2 2 8" xfId="604" xr:uid="{00000000-0005-0000-0000-00004D000000}"/>
    <cellStyle name="Normal 2 2 3" xfId="15" xr:uid="{00000000-0005-0000-0000-00004E000000}"/>
    <cellStyle name="Normal 2 2 3 2" xfId="32" xr:uid="{00000000-0005-0000-0000-00004F000000}"/>
    <cellStyle name="Normal 2 2 3 2 2" xfId="66" xr:uid="{00000000-0005-0000-0000-000050000000}"/>
    <cellStyle name="Normal 2 2 3 2 2 2" xfId="168" xr:uid="{00000000-0005-0000-0000-000051000000}"/>
    <cellStyle name="Normal 2 2 3 2 2 2 2" xfId="364" xr:uid="{00000000-0005-0000-0000-000052000000}"/>
    <cellStyle name="Normal 2 2 3 2 2 2 3" xfId="560" xr:uid="{00000000-0005-0000-0000-000053000000}"/>
    <cellStyle name="Normal 2 2 3 2 2 2 4" xfId="754" xr:uid="{00000000-0005-0000-0000-000054000000}"/>
    <cellStyle name="Normal 2 2 3 2 2 3" xfId="266" xr:uid="{00000000-0005-0000-0000-000055000000}"/>
    <cellStyle name="Normal 2 2 3 2 2 4" xfId="462" xr:uid="{00000000-0005-0000-0000-000056000000}"/>
    <cellStyle name="Normal 2 2 3 2 2 5" xfId="657" xr:uid="{00000000-0005-0000-0000-000057000000}"/>
    <cellStyle name="Normal 2 2 3 2 3" xfId="98" xr:uid="{00000000-0005-0000-0000-000058000000}"/>
    <cellStyle name="Normal 2 2 3 2 3 2" xfId="200" xr:uid="{00000000-0005-0000-0000-000059000000}"/>
    <cellStyle name="Normal 2 2 3 2 3 2 2" xfId="396" xr:uid="{00000000-0005-0000-0000-00005A000000}"/>
    <cellStyle name="Normal 2 2 3 2 3 2 3" xfId="592" xr:uid="{00000000-0005-0000-0000-00005B000000}"/>
    <cellStyle name="Normal 2 2 3 2 3 2 4" xfId="786" xr:uid="{00000000-0005-0000-0000-00005C000000}"/>
    <cellStyle name="Normal 2 2 3 2 3 3" xfId="298" xr:uid="{00000000-0005-0000-0000-00005D000000}"/>
    <cellStyle name="Normal 2 2 3 2 3 4" xfId="494" xr:uid="{00000000-0005-0000-0000-00005E000000}"/>
    <cellStyle name="Normal 2 2 3 2 3 5" xfId="689" xr:uid="{00000000-0005-0000-0000-00005F000000}"/>
    <cellStyle name="Normal 2 2 3 2 4" xfId="135" xr:uid="{00000000-0005-0000-0000-000060000000}"/>
    <cellStyle name="Normal 2 2 3 2 4 2" xfId="331" xr:uid="{00000000-0005-0000-0000-000061000000}"/>
    <cellStyle name="Normal 2 2 3 2 4 3" xfId="527" xr:uid="{00000000-0005-0000-0000-000062000000}"/>
    <cellStyle name="Normal 2 2 3 2 4 4" xfId="721" xr:uid="{00000000-0005-0000-0000-000063000000}"/>
    <cellStyle name="Normal 2 2 3 2 5" xfId="233" xr:uid="{00000000-0005-0000-0000-000064000000}"/>
    <cellStyle name="Normal 2 2 3 2 6" xfId="429" xr:uid="{00000000-0005-0000-0000-000065000000}"/>
    <cellStyle name="Normal 2 2 3 2 7" xfId="624" xr:uid="{00000000-0005-0000-0000-000066000000}"/>
    <cellStyle name="Normal 2 2 3 3" xfId="50" xr:uid="{00000000-0005-0000-0000-000067000000}"/>
    <cellStyle name="Normal 2 2 3 3 2" xfId="152" xr:uid="{00000000-0005-0000-0000-000068000000}"/>
    <cellStyle name="Normal 2 2 3 3 2 2" xfId="348" xr:uid="{00000000-0005-0000-0000-000069000000}"/>
    <cellStyle name="Normal 2 2 3 3 2 3" xfId="544" xr:uid="{00000000-0005-0000-0000-00006A000000}"/>
    <cellStyle name="Normal 2 2 3 3 2 4" xfId="738" xr:uid="{00000000-0005-0000-0000-00006B000000}"/>
    <cellStyle name="Normal 2 2 3 3 3" xfId="250" xr:uid="{00000000-0005-0000-0000-00006C000000}"/>
    <cellStyle name="Normal 2 2 3 3 4" xfId="446" xr:uid="{00000000-0005-0000-0000-00006D000000}"/>
    <cellStyle name="Normal 2 2 3 3 5" xfId="641" xr:uid="{00000000-0005-0000-0000-00006E000000}"/>
    <cellStyle name="Normal 2 2 3 4" xfId="82" xr:uid="{00000000-0005-0000-0000-00006F000000}"/>
    <cellStyle name="Normal 2 2 3 4 2" xfId="184" xr:uid="{00000000-0005-0000-0000-000070000000}"/>
    <cellStyle name="Normal 2 2 3 4 2 2" xfId="380" xr:uid="{00000000-0005-0000-0000-000071000000}"/>
    <cellStyle name="Normal 2 2 3 4 2 3" xfId="576" xr:uid="{00000000-0005-0000-0000-000072000000}"/>
    <cellStyle name="Normal 2 2 3 4 2 4" xfId="770" xr:uid="{00000000-0005-0000-0000-000073000000}"/>
    <cellStyle name="Normal 2 2 3 4 3" xfId="282" xr:uid="{00000000-0005-0000-0000-000074000000}"/>
    <cellStyle name="Normal 2 2 3 4 4" xfId="478" xr:uid="{00000000-0005-0000-0000-000075000000}"/>
    <cellStyle name="Normal 2 2 3 4 5" xfId="673" xr:uid="{00000000-0005-0000-0000-000076000000}"/>
    <cellStyle name="Normal 2 2 3 5" xfId="119" xr:uid="{00000000-0005-0000-0000-000077000000}"/>
    <cellStyle name="Normal 2 2 3 5 2" xfId="315" xr:uid="{00000000-0005-0000-0000-000078000000}"/>
    <cellStyle name="Normal 2 2 3 5 3" xfId="511" xr:uid="{00000000-0005-0000-0000-000079000000}"/>
    <cellStyle name="Normal 2 2 3 5 4" xfId="705" xr:uid="{00000000-0005-0000-0000-00007A000000}"/>
    <cellStyle name="Normal 2 2 3 6" xfId="217" xr:uid="{00000000-0005-0000-0000-00007B000000}"/>
    <cellStyle name="Normal 2 2 3 7" xfId="413" xr:uid="{00000000-0005-0000-0000-00007C000000}"/>
    <cellStyle name="Normal 2 2 3 8" xfId="608" xr:uid="{00000000-0005-0000-0000-00007D000000}"/>
    <cellStyle name="Normal 2 2 4" xfId="20" xr:uid="{00000000-0005-0000-0000-00007E000000}"/>
    <cellStyle name="Normal 2 2 4 2" xfId="37" xr:uid="{00000000-0005-0000-0000-00007F000000}"/>
    <cellStyle name="Normal 2 2 4 2 2" xfId="70" xr:uid="{00000000-0005-0000-0000-000080000000}"/>
    <cellStyle name="Normal 2 2 4 2 2 2" xfId="172" xr:uid="{00000000-0005-0000-0000-000081000000}"/>
    <cellStyle name="Normal 2 2 4 2 2 2 2" xfId="368" xr:uid="{00000000-0005-0000-0000-000082000000}"/>
    <cellStyle name="Normal 2 2 4 2 2 2 3" xfId="564" xr:uid="{00000000-0005-0000-0000-000083000000}"/>
    <cellStyle name="Normal 2 2 4 2 2 2 4" xfId="758" xr:uid="{00000000-0005-0000-0000-000084000000}"/>
    <cellStyle name="Normal 2 2 4 2 2 3" xfId="270" xr:uid="{00000000-0005-0000-0000-000085000000}"/>
    <cellStyle name="Normal 2 2 4 2 2 4" xfId="466" xr:uid="{00000000-0005-0000-0000-000086000000}"/>
    <cellStyle name="Normal 2 2 4 2 2 5" xfId="661" xr:uid="{00000000-0005-0000-0000-000087000000}"/>
    <cellStyle name="Normal 2 2 4 2 3" xfId="102" xr:uid="{00000000-0005-0000-0000-000088000000}"/>
    <cellStyle name="Normal 2 2 4 2 3 2" xfId="204" xr:uid="{00000000-0005-0000-0000-000089000000}"/>
    <cellStyle name="Normal 2 2 4 2 3 2 2" xfId="400" xr:uid="{00000000-0005-0000-0000-00008A000000}"/>
    <cellStyle name="Normal 2 2 4 2 3 2 3" xfId="596" xr:uid="{00000000-0005-0000-0000-00008B000000}"/>
    <cellStyle name="Normal 2 2 4 2 3 2 4" xfId="790" xr:uid="{00000000-0005-0000-0000-00008C000000}"/>
    <cellStyle name="Normal 2 2 4 2 3 3" xfId="302" xr:uid="{00000000-0005-0000-0000-00008D000000}"/>
    <cellStyle name="Normal 2 2 4 2 3 4" xfId="498" xr:uid="{00000000-0005-0000-0000-00008E000000}"/>
    <cellStyle name="Normal 2 2 4 2 3 5" xfId="693" xr:uid="{00000000-0005-0000-0000-00008F000000}"/>
    <cellStyle name="Normal 2 2 4 2 4" xfId="139" xr:uid="{00000000-0005-0000-0000-000090000000}"/>
    <cellStyle name="Normal 2 2 4 2 4 2" xfId="335" xr:uid="{00000000-0005-0000-0000-000091000000}"/>
    <cellStyle name="Normal 2 2 4 2 4 3" xfId="531" xr:uid="{00000000-0005-0000-0000-000092000000}"/>
    <cellStyle name="Normal 2 2 4 2 4 4" xfId="725" xr:uid="{00000000-0005-0000-0000-000093000000}"/>
    <cellStyle name="Normal 2 2 4 2 5" xfId="237" xr:uid="{00000000-0005-0000-0000-000094000000}"/>
    <cellStyle name="Normal 2 2 4 2 6" xfId="433" xr:uid="{00000000-0005-0000-0000-000095000000}"/>
    <cellStyle name="Normal 2 2 4 2 7" xfId="628" xr:uid="{00000000-0005-0000-0000-000096000000}"/>
    <cellStyle name="Normal 2 2 4 3" xfId="54" xr:uid="{00000000-0005-0000-0000-000097000000}"/>
    <cellStyle name="Normal 2 2 4 3 2" xfId="156" xr:uid="{00000000-0005-0000-0000-000098000000}"/>
    <cellStyle name="Normal 2 2 4 3 2 2" xfId="352" xr:uid="{00000000-0005-0000-0000-000099000000}"/>
    <cellStyle name="Normal 2 2 4 3 2 3" xfId="548" xr:uid="{00000000-0005-0000-0000-00009A000000}"/>
    <cellStyle name="Normal 2 2 4 3 2 4" xfId="742" xr:uid="{00000000-0005-0000-0000-00009B000000}"/>
    <cellStyle name="Normal 2 2 4 3 3" xfId="254" xr:uid="{00000000-0005-0000-0000-00009C000000}"/>
    <cellStyle name="Normal 2 2 4 3 4" xfId="450" xr:uid="{00000000-0005-0000-0000-00009D000000}"/>
    <cellStyle name="Normal 2 2 4 3 5" xfId="645" xr:uid="{00000000-0005-0000-0000-00009E000000}"/>
    <cellStyle name="Normal 2 2 4 4" xfId="86" xr:uid="{00000000-0005-0000-0000-00009F000000}"/>
    <cellStyle name="Normal 2 2 4 4 2" xfId="188" xr:uid="{00000000-0005-0000-0000-0000A0000000}"/>
    <cellStyle name="Normal 2 2 4 4 2 2" xfId="384" xr:uid="{00000000-0005-0000-0000-0000A1000000}"/>
    <cellStyle name="Normal 2 2 4 4 2 3" xfId="580" xr:uid="{00000000-0005-0000-0000-0000A2000000}"/>
    <cellStyle name="Normal 2 2 4 4 2 4" xfId="774" xr:uid="{00000000-0005-0000-0000-0000A3000000}"/>
    <cellStyle name="Normal 2 2 4 4 3" xfId="286" xr:uid="{00000000-0005-0000-0000-0000A4000000}"/>
    <cellStyle name="Normal 2 2 4 4 4" xfId="482" xr:uid="{00000000-0005-0000-0000-0000A5000000}"/>
    <cellStyle name="Normal 2 2 4 4 5" xfId="677" xr:uid="{00000000-0005-0000-0000-0000A6000000}"/>
    <cellStyle name="Normal 2 2 4 5" xfId="123" xr:uid="{00000000-0005-0000-0000-0000A7000000}"/>
    <cellStyle name="Normal 2 2 4 5 2" xfId="319" xr:uid="{00000000-0005-0000-0000-0000A8000000}"/>
    <cellStyle name="Normal 2 2 4 5 3" xfId="515" xr:uid="{00000000-0005-0000-0000-0000A9000000}"/>
    <cellStyle name="Normal 2 2 4 5 4" xfId="709" xr:uid="{00000000-0005-0000-0000-0000AA000000}"/>
    <cellStyle name="Normal 2 2 4 6" xfId="221" xr:uid="{00000000-0005-0000-0000-0000AB000000}"/>
    <cellStyle name="Normal 2 2 4 7" xfId="417" xr:uid="{00000000-0005-0000-0000-0000AC000000}"/>
    <cellStyle name="Normal 2 2 4 8" xfId="612" xr:uid="{00000000-0005-0000-0000-0000AD000000}"/>
    <cellStyle name="Normal 2 2 5" xfId="24" xr:uid="{00000000-0005-0000-0000-0000AE000000}"/>
    <cellStyle name="Normal 2 2 5 2" xfId="58" xr:uid="{00000000-0005-0000-0000-0000AF000000}"/>
    <cellStyle name="Normal 2 2 5 2 2" xfId="160" xr:uid="{00000000-0005-0000-0000-0000B0000000}"/>
    <cellStyle name="Normal 2 2 5 2 2 2" xfId="356" xr:uid="{00000000-0005-0000-0000-0000B1000000}"/>
    <cellStyle name="Normal 2 2 5 2 2 3" xfId="552" xr:uid="{00000000-0005-0000-0000-0000B2000000}"/>
    <cellStyle name="Normal 2 2 5 2 2 4" xfId="746" xr:uid="{00000000-0005-0000-0000-0000B3000000}"/>
    <cellStyle name="Normal 2 2 5 2 3" xfId="258" xr:uid="{00000000-0005-0000-0000-0000B4000000}"/>
    <cellStyle name="Normal 2 2 5 2 4" xfId="454" xr:uid="{00000000-0005-0000-0000-0000B5000000}"/>
    <cellStyle name="Normal 2 2 5 2 5" xfId="649" xr:uid="{00000000-0005-0000-0000-0000B6000000}"/>
    <cellStyle name="Normal 2 2 5 3" xfId="90" xr:uid="{00000000-0005-0000-0000-0000B7000000}"/>
    <cellStyle name="Normal 2 2 5 3 2" xfId="192" xr:uid="{00000000-0005-0000-0000-0000B8000000}"/>
    <cellStyle name="Normal 2 2 5 3 2 2" xfId="388" xr:uid="{00000000-0005-0000-0000-0000B9000000}"/>
    <cellStyle name="Normal 2 2 5 3 2 3" xfId="584" xr:uid="{00000000-0005-0000-0000-0000BA000000}"/>
    <cellStyle name="Normal 2 2 5 3 2 4" xfId="778" xr:uid="{00000000-0005-0000-0000-0000BB000000}"/>
    <cellStyle name="Normal 2 2 5 3 3" xfId="290" xr:uid="{00000000-0005-0000-0000-0000BC000000}"/>
    <cellStyle name="Normal 2 2 5 3 4" xfId="486" xr:uid="{00000000-0005-0000-0000-0000BD000000}"/>
    <cellStyle name="Normal 2 2 5 3 5" xfId="681" xr:uid="{00000000-0005-0000-0000-0000BE000000}"/>
    <cellStyle name="Normal 2 2 5 4" xfId="127" xr:uid="{00000000-0005-0000-0000-0000BF000000}"/>
    <cellStyle name="Normal 2 2 5 4 2" xfId="323" xr:uid="{00000000-0005-0000-0000-0000C0000000}"/>
    <cellStyle name="Normal 2 2 5 4 3" xfId="519" xr:uid="{00000000-0005-0000-0000-0000C1000000}"/>
    <cellStyle name="Normal 2 2 5 4 4" xfId="713" xr:uid="{00000000-0005-0000-0000-0000C2000000}"/>
    <cellStyle name="Normal 2 2 5 5" xfId="225" xr:uid="{00000000-0005-0000-0000-0000C3000000}"/>
    <cellStyle name="Normal 2 2 5 6" xfId="421" xr:uid="{00000000-0005-0000-0000-0000C4000000}"/>
    <cellStyle name="Normal 2 2 5 7" xfId="616" xr:uid="{00000000-0005-0000-0000-0000C5000000}"/>
    <cellStyle name="Normal 2 2 6" xfId="42" xr:uid="{00000000-0005-0000-0000-0000C6000000}"/>
    <cellStyle name="Normal 2 2 6 2" xfId="144" xr:uid="{00000000-0005-0000-0000-0000C7000000}"/>
    <cellStyle name="Normal 2 2 6 2 2" xfId="340" xr:uid="{00000000-0005-0000-0000-0000C8000000}"/>
    <cellStyle name="Normal 2 2 6 2 3" xfId="536" xr:uid="{00000000-0005-0000-0000-0000C9000000}"/>
    <cellStyle name="Normal 2 2 6 2 4" xfId="730" xr:uid="{00000000-0005-0000-0000-0000CA000000}"/>
    <cellStyle name="Normal 2 2 6 3" xfId="242" xr:uid="{00000000-0005-0000-0000-0000CB000000}"/>
    <cellStyle name="Normal 2 2 6 4" xfId="438" xr:uid="{00000000-0005-0000-0000-0000CC000000}"/>
    <cellStyle name="Normal 2 2 6 5" xfId="633" xr:uid="{00000000-0005-0000-0000-0000CD000000}"/>
    <cellStyle name="Normal 2 2 7" xfId="74" xr:uid="{00000000-0005-0000-0000-0000CE000000}"/>
    <cellStyle name="Normal 2 2 7 2" xfId="176" xr:uid="{00000000-0005-0000-0000-0000CF000000}"/>
    <cellStyle name="Normal 2 2 7 2 2" xfId="372" xr:uid="{00000000-0005-0000-0000-0000D0000000}"/>
    <cellStyle name="Normal 2 2 7 2 3" xfId="568" xr:uid="{00000000-0005-0000-0000-0000D1000000}"/>
    <cellStyle name="Normal 2 2 7 2 4" xfId="762" xr:uid="{00000000-0005-0000-0000-0000D2000000}"/>
    <cellStyle name="Normal 2 2 7 3" xfId="274" xr:uid="{00000000-0005-0000-0000-0000D3000000}"/>
    <cellStyle name="Normal 2 2 7 4" xfId="470" xr:uid="{00000000-0005-0000-0000-0000D4000000}"/>
    <cellStyle name="Normal 2 2 7 5" xfId="665" xr:uid="{00000000-0005-0000-0000-0000D5000000}"/>
    <cellStyle name="Normal 2 2 8" xfId="111" xr:uid="{00000000-0005-0000-0000-0000D6000000}"/>
    <cellStyle name="Normal 2 2 8 2" xfId="307" xr:uid="{00000000-0005-0000-0000-0000D7000000}"/>
    <cellStyle name="Normal 2 2 8 3" xfId="503" xr:uid="{00000000-0005-0000-0000-0000D8000000}"/>
    <cellStyle name="Normal 2 2 8 4" xfId="697" xr:uid="{00000000-0005-0000-0000-0000D9000000}"/>
    <cellStyle name="Normal 2 2 9" xfId="209" xr:uid="{00000000-0005-0000-0000-0000DA000000}"/>
    <cellStyle name="Normal 2 3" xfId="8" xr:uid="{00000000-0005-0000-0000-0000DB000000}"/>
    <cellStyle name="Normal 2 3 10" xfId="406" xr:uid="{00000000-0005-0000-0000-0000DC000000}"/>
    <cellStyle name="Normal 2 3 11" xfId="601" xr:uid="{00000000-0005-0000-0000-0000DD000000}"/>
    <cellStyle name="Normal 2 3 2" xfId="12" xr:uid="{00000000-0005-0000-0000-0000DE000000}"/>
    <cellStyle name="Normal 2 3 2 2" xfId="29" xr:uid="{00000000-0005-0000-0000-0000DF000000}"/>
    <cellStyle name="Normal 2 3 2 2 2" xfId="63" xr:uid="{00000000-0005-0000-0000-0000E0000000}"/>
    <cellStyle name="Normal 2 3 2 2 2 2" xfId="165" xr:uid="{00000000-0005-0000-0000-0000E1000000}"/>
    <cellStyle name="Normal 2 3 2 2 2 2 2" xfId="361" xr:uid="{00000000-0005-0000-0000-0000E2000000}"/>
    <cellStyle name="Normal 2 3 2 2 2 2 3" xfId="557" xr:uid="{00000000-0005-0000-0000-0000E3000000}"/>
    <cellStyle name="Normal 2 3 2 2 2 2 4" xfId="751" xr:uid="{00000000-0005-0000-0000-0000E4000000}"/>
    <cellStyle name="Normal 2 3 2 2 2 3" xfId="263" xr:uid="{00000000-0005-0000-0000-0000E5000000}"/>
    <cellStyle name="Normal 2 3 2 2 2 4" xfId="459" xr:uid="{00000000-0005-0000-0000-0000E6000000}"/>
    <cellStyle name="Normal 2 3 2 2 2 5" xfId="654" xr:uid="{00000000-0005-0000-0000-0000E7000000}"/>
    <cellStyle name="Normal 2 3 2 2 3" xfId="95" xr:uid="{00000000-0005-0000-0000-0000E8000000}"/>
    <cellStyle name="Normal 2 3 2 2 3 2" xfId="197" xr:uid="{00000000-0005-0000-0000-0000E9000000}"/>
    <cellStyle name="Normal 2 3 2 2 3 2 2" xfId="393" xr:uid="{00000000-0005-0000-0000-0000EA000000}"/>
    <cellStyle name="Normal 2 3 2 2 3 2 3" xfId="589" xr:uid="{00000000-0005-0000-0000-0000EB000000}"/>
    <cellStyle name="Normal 2 3 2 2 3 2 4" xfId="783" xr:uid="{00000000-0005-0000-0000-0000EC000000}"/>
    <cellStyle name="Normal 2 3 2 2 3 3" xfId="295" xr:uid="{00000000-0005-0000-0000-0000ED000000}"/>
    <cellStyle name="Normal 2 3 2 2 3 4" xfId="491" xr:uid="{00000000-0005-0000-0000-0000EE000000}"/>
    <cellStyle name="Normal 2 3 2 2 3 5" xfId="686" xr:uid="{00000000-0005-0000-0000-0000EF000000}"/>
    <cellStyle name="Normal 2 3 2 2 4" xfId="132" xr:uid="{00000000-0005-0000-0000-0000F0000000}"/>
    <cellStyle name="Normal 2 3 2 2 4 2" xfId="328" xr:uid="{00000000-0005-0000-0000-0000F1000000}"/>
    <cellStyle name="Normal 2 3 2 2 4 3" xfId="524" xr:uid="{00000000-0005-0000-0000-0000F2000000}"/>
    <cellStyle name="Normal 2 3 2 2 4 4" xfId="718" xr:uid="{00000000-0005-0000-0000-0000F3000000}"/>
    <cellStyle name="Normal 2 3 2 2 5" xfId="230" xr:uid="{00000000-0005-0000-0000-0000F4000000}"/>
    <cellStyle name="Normal 2 3 2 2 6" xfId="426" xr:uid="{00000000-0005-0000-0000-0000F5000000}"/>
    <cellStyle name="Normal 2 3 2 2 7" xfId="621" xr:uid="{00000000-0005-0000-0000-0000F6000000}"/>
    <cellStyle name="Normal 2 3 2 3" xfId="47" xr:uid="{00000000-0005-0000-0000-0000F7000000}"/>
    <cellStyle name="Normal 2 3 2 3 2" xfId="149" xr:uid="{00000000-0005-0000-0000-0000F8000000}"/>
    <cellStyle name="Normal 2 3 2 3 2 2" xfId="345" xr:uid="{00000000-0005-0000-0000-0000F9000000}"/>
    <cellStyle name="Normal 2 3 2 3 2 3" xfId="541" xr:uid="{00000000-0005-0000-0000-0000FA000000}"/>
    <cellStyle name="Normal 2 3 2 3 2 4" xfId="735" xr:uid="{00000000-0005-0000-0000-0000FB000000}"/>
    <cellStyle name="Normal 2 3 2 3 3" xfId="247" xr:uid="{00000000-0005-0000-0000-0000FC000000}"/>
    <cellStyle name="Normal 2 3 2 3 4" xfId="443" xr:uid="{00000000-0005-0000-0000-0000FD000000}"/>
    <cellStyle name="Normal 2 3 2 3 5" xfId="638" xr:uid="{00000000-0005-0000-0000-0000FE000000}"/>
    <cellStyle name="Normal 2 3 2 4" xfId="79" xr:uid="{00000000-0005-0000-0000-0000FF000000}"/>
    <cellStyle name="Normal 2 3 2 4 2" xfId="181" xr:uid="{00000000-0005-0000-0000-000000010000}"/>
    <cellStyle name="Normal 2 3 2 4 2 2" xfId="377" xr:uid="{00000000-0005-0000-0000-000001010000}"/>
    <cellStyle name="Normal 2 3 2 4 2 3" xfId="573" xr:uid="{00000000-0005-0000-0000-000002010000}"/>
    <cellStyle name="Normal 2 3 2 4 2 4" xfId="767" xr:uid="{00000000-0005-0000-0000-000003010000}"/>
    <cellStyle name="Normal 2 3 2 4 3" xfId="279" xr:uid="{00000000-0005-0000-0000-000004010000}"/>
    <cellStyle name="Normal 2 3 2 4 4" xfId="475" xr:uid="{00000000-0005-0000-0000-000005010000}"/>
    <cellStyle name="Normal 2 3 2 4 5" xfId="670" xr:uid="{00000000-0005-0000-0000-000006010000}"/>
    <cellStyle name="Normal 2 3 2 5" xfId="116" xr:uid="{00000000-0005-0000-0000-000007010000}"/>
    <cellStyle name="Normal 2 3 2 5 2" xfId="312" xr:uid="{00000000-0005-0000-0000-000008010000}"/>
    <cellStyle name="Normal 2 3 2 5 3" xfId="508" xr:uid="{00000000-0005-0000-0000-000009010000}"/>
    <cellStyle name="Normal 2 3 2 5 4" xfId="702" xr:uid="{00000000-0005-0000-0000-00000A010000}"/>
    <cellStyle name="Normal 2 3 2 6" xfId="214" xr:uid="{00000000-0005-0000-0000-00000B010000}"/>
    <cellStyle name="Normal 2 3 2 7" xfId="410" xr:uid="{00000000-0005-0000-0000-00000C010000}"/>
    <cellStyle name="Normal 2 3 2 8" xfId="605" xr:uid="{00000000-0005-0000-0000-00000D010000}"/>
    <cellStyle name="Normal 2 3 3" xfId="16" xr:uid="{00000000-0005-0000-0000-00000E010000}"/>
    <cellStyle name="Normal 2 3 3 2" xfId="33" xr:uid="{00000000-0005-0000-0000-00000F010000}"/>
    <cellStyle name="Normal 2 3 3 2 2" xfId="67" xr:uid="{00000000-0005-0000-0000-000010010000}"/>
    <cellStyle name="Normal 2 3 3 2 2 2" xfId="169" xr:uid="{00000000-0005-0000-0000-000011010000}"/>
    <cellStyle name="Normal 2 3 3 2 2 2 2" xfId="365" xr:uid="{00000000-0005-0000-0000-000012010000}"/>
    <cellStyle name="Normal 2 3 3 2 2 2 3" xfId="561" xr:uid="{00000000-0005-0000-0000-000013010000}"/>
    <cellStyle name="Normal 2 3 3 2 2 2 4" xfId="755" xr:uid="{00000000-0005-0000-0000-000014010000}"/>
    <cellStyle name="Normal 2 3 3 2 2 3" xfId="267" xr:uid="{00000000-0005-0000-0000-000015010000}"/>
    <cellStyle name="Normal 2 3 3 2 2 4" xfId="463" xr:uid="{00000000-0005-0000-0000-000016010000}"/>
    <cellStyle name="Normal 2 3 3 2 2 5" xfId="658" xr:uid="{00000000-0005-0000-0000-000017010000}"/>
    <cellStyle name="Normal 2 3 3 2 3" xfId="99" xr:uid="{00000000-0005-0000-0000-000018010000}"/>
    <cellStyle name="Normal 2 3 3 2 3 2" xfId="201" xr:uid="{00000000-0005-0000-0000-000019010000}"/>
    <cellStyle name="Normal 2 3 3 2 3 2 2" xfId="397" xr:uid="{00000000-0005-0000-0000-00001A010000}"/>
    <cellStyle name="Normal 2 3 3 2 3 2 3" xfId="593" xr:uid="{00000000-0005-0000-0000-00001B010000}"/>
    <cellStyle name="Normal 2 3 3 2 3 2 4" xfId="787" xr:uid="{00000000-0005-0000-0000-00001C010000}"/>
    <cellStyle name="Normal 2 3 3 2 3 3" xfId="299" xr:uid="{00000000-0005-0000-0000-00001D010000}"/>
    <cellStyle name="Normal 2 3 3 2 3 4" xfId="495" xr:uid="{00000000-0005-0000-0000-00001E010000}"/>
    <cellStyle name="Normal 2 3 3 2 3 5" xfId="690" xr:uid="{00000000-0005-0000-0000-00001F010000}"/>
    <cellStyle name="Normal 2 3 3 2 4" xfId="136" xr:uid="{00000000-0005-0000-0000-000020010000}"/>
    <cellStyle name="Normal 2 3 3 2 4 2" xfId="332" xr:uid="{00000000-0005-0000-0000-000021010000}"/>
    <cellStyle name="Normal 2 3 3 2 4 3" xfId="528" xr:uid="{00000000-0005-0000-0000-000022010000}"/>
    <cellStyle name="Normal 2 3 3 2 4 4" xfId="722" xr:uid="{00000000-0005-0000-0000-000023010000}"/>
    <cellStyle name="Normal 2 3 3 2 5" xfId="234" xr:uid="{00000000-0005-0000-0000-000024010000}"/>
    <cellStyle name="Normal 2 3 3 2 6" xfId="430" xr:uid="{00000000-0005-0000-0000-000025010000}"/>
    <cellStyle name="Normal 2 3 3 2 7" xfId="625" xr:uid="{00000000-0005-0000-0000-000026010000}"/>
    <cellStyle name="Normal 2 3 3 3" xfId="51" xr:uid="{00000000-0005-0000-0000-000027010000}"/>
    <cellStyle name="Normal 2 3 3 3 2" xfId="153" xr:uid="{00000000-0005-0000-0000-000028010000}"/>
    <cellStyle name="Normal 2 3 3 3 2 2" xfId="349" xr:uid="{00000000-0005-0000-0000-000029010000}"/>
    <cellStyle name="Normal 2 3 3 3 2 3" xfId="545" xr:uid="{00000000-0005-0000-0000-00002A010000}"/>
    <cellStyle name="Normal 2 3 3 3 2 4" xfId="739" xr:uid="{00000000-0005-0000-0000-00002B010000}"/>
    <cellStyle name="Normal 2 3 3 3 3" xfId="251" xr:uid="{00000000-0005-0000-0000-00002C010000}"/>
    <cellStyle name="Normal 2 3 3 3 4" xfId="447" xr:uid="{00000000-0005-0000-0000-00002D010000}"/>
    <cellStyle name="Normal 2 3 3 3 5" xfId="642" xr:uid="{00000000-0005-0000-0000-00002E010000}"/>
    <cellStyle name="Normal 2 3 3 4" xfId="83" xr:uid="{00000000-0005-0000-0000-00002F010000}"/>
    <cellStyle name="Normal 2 3 3 4 2" xfId="185" xr:uid="{00000000-0005-0000-0000-000030010000}"/>
    <cellStyle name="Normal 2 3 3 4 2 2" xfId="381" xr:uid="{00000000-0005-0000-0000-000031010000}"/>
    <cellStyle name="Normal 2 3 3 4 2 3" xfId="577" xr:uid="{00000000-0005-0000-0000-000032010000}"/>
    <cellStyle name="Normal 2 3 3 4 2 4" xfId="771" xr:uid="{00000000-0005-0000-0000-000033010000}"/>
    <cellStyle name="Normal 2 3 3 4 3" xfId="283" xr:uid="{00000000-0005-0000-0000-000034010000}"/>
    <cellStyle name="Normal 2 3 3 4 4" xfId="479" xr:uid="{00000000-0005-0000-0000-000035010000}"/>
    <cellStyle name="Normal 2 3 3 4 5" xfId="674" xr:uid="{00000000-0005-0000-0000-000036010000}"/>
    <cellStyle name="Normal 2 3 3 5" xfId="120" xr:uid="{00000000-0005-0000-0000-000037010000}"/>
    <cellStyle name="Normal 2 3 3 5 2" xfId="316" xr:uid="{00000000-0005-0000-0000-000038010000}"/>
    <cellStyle name="Normal 2 3 3 5 3" xfId="512" xr:uid="{00000000-0005-0000-0000-000039010000}"/>
    <cellStyle name="Normal 2 3 3 5 4" xfId="706" xr:uid="{00000000-0005-0000-0000-00003A010000}"/>
    <cellStyle name="Normal 2 3 3 6" xfId="218" xr:uid="{00000000-0005-0000-0000-00003B010000}"/>
    <cellStyle name="Normal 2 3 3 7" xfId="414" xr:uid="{00000000-0005-0000-0000-00003C010000}"/>
    <cellStyle name="Normal 2 3 3 8" xfId="609" xr:uid="{00000000-0005-0000-0000-00003D010000}"/>
    <cellStyle name="Normal 2 3 4" xfId="21" xr:uid="{00000000-0005-0000-0000-00003E010000}"/>
    <cellStyle name="Normal 2 3 4 2" xfId="38" xr:uid="{00000000-0005-0000-0000-00003F010000}"/>
    <cellStyle name="Normal 2 3 4 2 2" xfId="71" xr:uid="{00000000-0005-0000-0000-000040010000}"/>
    <cellStyle name="Normal 2 3 4 2 2 2" xfId="173" xr:uid="{00000000-0005-0000-0000-000041010000}"/>
    <cellStyle name="Normal 2 3 4 2 2 2 2" xfId="369" xr:uid="{00000000-0005-0000-0000-000042010000}"/>
    <cellStyle name="Normal 2 3 4 2 2 2 3" xfId="565" xr:uid="{00000000-0005-0000-0000-000043010000}"/>
    <cellStyle name="Normal 2 3 4 2 2 2 4" xfId="759" xr:uid="{00000000-0005-0000-0000-000044010000}"/>
    <cellStyle name="Normal 2 3 4 2 2 3" xfId="271" xr:uid="{00000000-0005-0000-0000-000045010000}"/>
    <cellStyle name="Normal 2 3 4 2 2 4" xfId="467" xr:uid="{00000000-0005-0000-0000-000046010000}"/>
    <cellStyle name="Normal 2 3 4 2 2 5" xfId="662" xr:uid="{00000000-0005-0000-0000-000047010000}"/>
    <cellStyle name="Normal 2 3 4 2 3" xfId="103" xr:uid="{00000000-0005-0000-0000-000048010000}"/>
    <cellStyle name="Normal 2 3 4 2 3 2" xfId="205" xr:uid="{00000000-0005-0000-0000-000049010000}"/>
    <cellStyle name="Normal 2 3 4 2 3 2 2" xfId="401" xr:uid="{00000000-0005-0000-0000-00004A010000}"/>
    <cellStyle name="Normal 2 3 4 2 3 2 3" xfId="597" xr:uid="{00000000-0005-0000-0000-00004B010000}"/>
    <cellStyle name="Normal 2 3 4 2 3 2 4" xfId="791" xr:uid="{00000000-0005-0000-0000-00004C010000}"/>
    <cellStyle name="Normal 2 3 4 2 3 3" xfId="303" xr:uid="{00000000-0005-0000-0000-00004D010000}"/>
    <cellStyle name="Normal 2 3 4 2 3 4" xfId="499" xr:uid="{00000000-0005-0000-0000-00004E010000}"/>
    <cellStyle name="Normal 2 3 4 2 3 5" xfId="694" xr:uid="{00000000-0005-0000-0000-00004F010000}"/>
    <cellStyle name="Normal 2 3 4 2 4" xfId="140" xr:uid="{00000000-0005-0000-0000-000050010000}"/>
    <cellStyle name="Normal 2 3 4 2 4 2" xfId="336" xr:uid="{00000000-0005-0000-0000-000051010000}"/>
    <cellStyle name="Normal 2 3 4 2 4 3" xfId="532" xr:uid="{00000000-0005-0000-0000-000052010000}"/>
    <cellStyle name="Normal 2 3 4 2 4 4" xfId="726" xr:uid="{00000000-0005-0000-0000-000053010000}"/>
    <cellStyle name="Normal 2 3 4 2 5" xfId="238" xr:uid="{00000000-0005-0000-0000-000054010000}"/>
    <cellStyle name="Normal 2 3 4 2 6" xfId="434" xr:uid="{00000000-0005-0000-0000-000055010000}"/>
    <cellStyle name="Normal 2 3 4 2 7" xfId="629" xr:uid="{00000000-0005-0000-0000-000056010000}"/>
    <cellStyle name="Normal 2 3 4 3" xfId="55" xr:uid="{00000000-0005-0000-0000-000057010000}"/>
    <cellStyle name="Normal 2 3 4 3 2" xfId="157" xr:uid="{00000000-0005-0000-0000-000058010000}"/>
    <cellStyle name="Normal 2 3 4 3 2 2" xfId="353" xr:uid="{00000000-0005-0000-0000-000059010000}"/>
    <cellStyle name="Normal 2 3 4 3 2 3" xfId="549" xr:uid="{00000000-0005-0000-0000-00005A010000}"/>
    <cellStyle name="Normal 2 3 4 3 2 4" xfId="743" xr:uid="{00000000-0005-0000-0000-00005B010000}"/>
    <cellStyle name="Normal 2 3 4 3 3" xfId="255" xr:uid="{00000000-0005-0000-0000-00005C010000}"/>
    <cellStyle name="Normal 2 3 4 3 4" xfId="451" xr:uid="{00000000-0005-0000-0000-00005D010000}"/>
    <cellStyle name="Normal 2 3 4 3 5" xfId="646" xr:uid="{00000000-0005-0000-0000-00005E010000}"/>
    <cellStyle name="Normal 2 3 4 4" xfId="87" xr:uid="{00000000-0005-0000-0000-00005F010000}"/>
    <cellStyle name="Normal 2 3 4 4 2" xfId="189" xr:uid="{00000000-0005-0000-0000-000060010000}"/>
    <cellStyle name="Normal 2 3 4 4 2 2" xfId="385" xr:uid="{00000000-0005-0000-0000-000061010000}"/>
    <cellStyle name="Normal 2 3 4 4 2 3" xfId="581" xr:uid="{00000000-0005-0000-0000-000062010000}"/>
    <cellStyle name="Normal 2 3 4 4 2 4" xfId="775" xr:uid="{00000000-0005-0000-0000-000063010000}"/>
    <cellStyle name="Normal 2 3 4 4 3" xfId="287" xr:uid="{00000000-0005-0000-0000-000064010000}"/>
    <cellStyle name="Normal 2 3 4 4 4" xfId="483" xr:uid="{00000000-0005-0000-0000-000065010000}"/>
    <cellStyle name="Normal 2 3 4 4 5" xfId="678" xr:uid="{00000000-0005-0000-0000-000066010000}"/>
    <cellStyle name="Normal 2 3 4 5" xfId="124" xr:uid="{00000000-0005-0000-0000-000067010000}"/>
    <cellStyle name="Normal 2 3 4 5 2" xfId="320" xr:uid="{00000000-0005-0000-0000-000068010000}"/>
    <cellStyle name="Normal 2 3 4 5 3" xfId="516" xr:uid="{00000000-0005-0000-0000-000069010000}"/>
    <cellStyle name="Normal 2 3 4 5 4" xfId="710" xr:uid="{00000000-0005-0000-0000-00006A010000}"/>
    <cellStyle name="Normal 2 3 4 6" xfId="222" xr:uid="{00000000-0005-0000-0000-00006B010000}"/>
    <cellStyle name="Normal 2 3 4 7" xfId="418" xr:uid="{00000000-0005-0000-0000-00006C010000}"/>
    <cellStyle name="Normal 2 3 4 8" xfId="613" xr:uid="{00000000-0005-0000-0000-00006D010000}"/>
    <cellStyle name="Normal 2 3 5" xfId="25" xr:uid="{00000000-0005-0000-0000-00006E010000}"/>
    <cellStyle name="Normal 2 3 5 2" xfId="59" xr:uid="{00000000-0005-0000-0000-00006F010000}"/>
    <cellStyle name="Normal 2 3 5 2 2" xfId="161" xr:uid="{00000000-0005-0000-0000-000070010000}"/>
    <cellStyle name="Normal 2 3 5 2 2 2" xfId="357" xr:uid="{00000000-0005-0000-0000-000071010000}"/>
    <cellStyle name="Normal 2 3 5 2 2 3" xfId="553" xr:uid="{00000000-0005-0000-0000-000072010000}"/>
    <cellStyle name="Normal 2 3 5 2 2 4" xfId="747" xr:uid="{00000000-0005-0000-0000-000073010000}"/>
    <cellStyle name="Normal 2 3 5 2 3" xfId="259" xr:uid="{00000000-0005-0000-0000-000074010000}"/>
    <cellStyle name="Normal 2 3 5 2 4" xfId="455" xr:uid="{00000000-0005-0000-0000-000075010000}"/>
    <cellStyle name="Normal 2 3 5 2 5" xfId="650" xr:uid="{00000000-0005-0000-0000-000076010000}"/>
    <cellStyle name="Normal 2 3 5 3" xfId="91" xr:uid="{00000000-0005-0000-0000-000077010000}"/>
    <cellStyle name="Normal 2 3 5 3 2" xfId="193" xr:uid="{00000000-0005-0000-0000-000078010000}"/>
    <cellStyle name="Normal 2 3 5 3 2 2" xfId="389" xr:uid="{00000000-0005-0000-0000-000079010000}"/>
    <cellStyle name="Normal 2 3 5 3 2 3" xfId="585" xr:uid="{00000000-0005-0000-0000-00007A010000}"/>
    <cellStyle name="Normal 2 3 5 3 2 4" xfId="779" xr:uid="{00000000-0005-0000-0000-00007B010000}"/>
    <cellStyle name="Normal 2 3 5 3 3" xfId="291" xr:uid="{00000000-0005-0000-0000-00007C010000}"/>
    <cellStyle name="Normal 2 3 5 3 4" xfId="487" xr:uid="{00000000-0005-0000-0000-00007D010000}"/>
    <cellStyle name="Normal 2 3 5 3 5" xfId="682" xr:uid="{00000000-0005-0000-0000-00007E010000}"/>
    <cellStyle name="Normal 2 3 5 4" xfId="128" xr:uid="{00000000-0005-0000-0000-00007F010000}"/>
    <cellStyle name="Normal 2 3 5 4 2" xfId="324" xr:uid="{00000000-0005-0000-0000-000080010000}"/>
    <cellStyle name="Normal 2 3 5 4 3" xfId="520" xr:uid="{00000000-0005-0000-0000-000081010000}"/>
    <cellStyle name="Normal 2 3 5 4 4" xfId="714" xr:uid="{00000000-0005-0000-0000-000082010000}"/>
    <cellStyle name="Normal 2 3 5 5" xfId="226" xr:uid="{00000000-0005-0000-0000-000083010000}"/>
    <cellStyle name="Normal 2 3 5 6" xfId="422" xr:uid="{00000000-0005-0000-0000-000084010000}"/>
    <cellStyle name="Normal 2 3 5 7" xfId="617" xr:uid="{00000000-0005-0000-0000-000085010000}"/>
    <cellStyle name="Normal 2 3 6" xfId="43" xr:uid="{00000000-0005-0000-0000-000086010000}"/>
    <cellStyle name="Normal 2 3 6 2" xfId="145" xr:uid="{00000000-0005-0000-0000-000087010000}"/>
    <cellStyle name="Normal 2 3 6 2 2" xfId="341" xr:uid="{00000000-0005-0000-0000-000088010000}"/>
    <cellStyle name="Normal 2 3 6 2 3" xfId="537" xr:uid="{00000000-0005-0000-0000-000089010000}"/>
    <cellStyle name="Normal 2 3 6 2 4" xfId="731" xr:uid="{00000000-0005-0000-0000-00008A010000}"/>
    <cellStyle name="Normal 2 3 6 3" xfId="243" xr:uid="{00000000-0005-0000-0000-00008B010000}"/>
    <cellStyle name="Normal 2 3 6 4" xfId="439" xr:uid="{00000000-0005-0000-0000-00008C010000}"/>
    <cellStyle name="Normal 2 3 6 5" xfId="634" xr:uid="{00000000-0005-0000-0000-00008D010000}"/>
    <cellStyle name="Normal 2 3 7" xfId="75" xr:uid="{00000000-0005-0000-0000-00008E010000}"/>
    <cellStyle name="Normal 2 3 7 2" xfId="177" xr:uid="{00000000-0005-0000-0000-00008F010000}"/>
    <cellStyle name="Normal 2 3 7 2 2" xfId="373" xr:uid="{00000000-0005-0000-0000-000090010000}"/>
    <cellStyle name="Normal 2 3 7 2 3" xfId="569" xr:uid="{00000000-0005-0000-0000-000091010000}"/>
    <cellStyle name="Normal 2 3 7 2 4" xfId="763" xr:uid="{00000000-0005-0000-0000-000092010000}"/>
    <cellStyle name="Normal 2 3 7 3" xfId="275" xr:uid="{00000000-0005-0000-0000-000093010000}"/>
    <cellStyle name="Normal 2 3 7 4" xfId="471" xr:uid="{00000000-0005-0000-0000-000094010000}"/>
    <cellStyle name="Normal 2 3 7 5" xfId="666" xr:uid="{00000000-0005-0000-0000-000095010000}"/>
    <cellStyle name="Normal 2 3 8" xfId="112" xr:uid="{00000000-0005-0000-0000-000096010000}"/>
    <cellStyle name="Normal 2 3 8 2" xfId="308" xr:uid="{00000000-0005-0000-0000-000097010000}"/>
    <cellStyle name="Normal 2 3 8 3" xfId="504" xr:uid="{00000000-0005-0000-0000-000098010000}"/>
    <cellStyle name="Normal 2 3 8 4" xfId="698" xr:uid="{00000000-0005-0000-0000-000099010000}"/>
    <cellStyle name="Normal 2 3 9" xfId="210" xr:uid="{00000000-0005-0000-0000-00009A010000}"/>
    <cellStyle name="Normal 2 4" xfId="9" xr:uid="{00000000-0005-0000-0000-00009B010000}"/>
    <cellStyle name="Normal 2 4 10" xfId="407" xr:uid="{00000000-0005-0000-0000-00009C010000}"/>
    <cellStyle name="Normal 2 4 11" xfId="602" xr:uid="{00000000-0005-0000-0000-00009D010000}"/>
    <cellStyle name="Normal 2 4 2" xfId="13" xr:uid="{00000000-0005-0000-0000-00009E010000}"/>
    <cellStyle name="Normal 2 4 2 2" xfId="30" xr:uid="{00000000-0005-0000-0000-00009F010000}"/>
    <cellStyle name="Normal 2 4 2 2 2" xfId="64" xr:uid="{00000000-0005-0000-0000-0000A0010000}"/>
    <cellStyle name="Normal 2 4 2 2 2 2" xfId="166" xr:uid="{00000000-0005-0000-0000-0000A1010000}"/>
    <cellStyle name="Normal 2 4 2 2 2 2 2" xfId="362" xr:uid="{00000000-0005-0000-0000-0000A2010000}"/>
    <cellStyle name="Normal 2 4 2 2 2 2 3" xfId="558" xr:uid="{00000000-0005-0000-0000-0000A3010000}"/>
    <cellStyle name="Normal 2 4 2 2 2 2 4" xfId="752" xr:uid="{00000000-0005-0000-0000-0000A4010000}"/>
    <cellStyle name="Normal 2 4 2 2 2 3" xfId="264" xr:uid="{00000000-0005-0000-0000-0000A5010000}"/>
    <cellStyle name="Normal 2 4 2 2 2 4" xfId="460" xr:uid="{00000000-0005-0000-0000-0000A6010000}"/>
    <cellStyle name="Normal 2 4 2 2 2 5" xfId="655" xr:uid="{00000000-0005-0000-0000-0000A7010000}"/>
    <cellStyle name="Normal 2 4 2 2 3" xfId="96" xr:uid="{00000000-0005-0000-0000-0000A8010000}"/>
    <cellStyle name="Normal 2 4 2 2 3 2" xfId="198" xr:uid="{00000000-0005-0000-0000-0000A9010000}"/>
    <cellStyle name="Normal 2 4 2 2 3 2 2" xfId="394" xr:uid="{00000000-0005-0000-0000-0000AA010000}"/>
    <cellStyle name="Normal 2 4 2 2 3 2 3" xfId="590" xr:uid="{00000000-0005-0000-0000-0000AB010000}"/>
    <cellStyle name="Normal 2 4 2 2 3 2 4" xfId="784" xr:uid="{00000000-0005-0000-0000-0000AC010000}"/>
    <cellStyle name="Normal 2 4 2 2 3 3" xfId="296" xr:uid="{00000000-0005-0000-0000-0000AD010000}"/>
    <cellStyle name="Normal 2 4 2 2 3 4" xfId="492" xr:uid="{00000000-0005-0000-0000-0000AE010000}"/>
    <cellStyle name="Normal 2 4 2 2 3 5" xfId="687" xr:uid="{00000000-0005-0000-0000-0000AF010000}"/>
    <cellStyle name="Normal 2 4 2 2 4" xfId="133" xr:uid="{00000000-0005-0000-0000-0000B0010000}"/>
    <cellStyle name="Normal 2 4 2 2 4 2" xfId="329" xr:uid="{00000000-0005-0000-0000-0000B1010000}"/>
    <cellStyle name="Normal 2 4 2 2 4 3" xfId="525" xr:uid="{00000000-0005-0000-0000-0000B2010000}"/>
    <cellStyle name="Normal 2 4 2 2 4 4" xfId="719" xr:uid="{00000000-0005-0000-0000-0000B3010000}"/>
    <cellStyle name="Normal 2 4 2 2 5" xfId="231" xr:uid="{00000000-0005-0000-0000-0000B4010000}"/>
    <cellStyle name="Normal 2 4 2 2 6" xfId="427" xr:uid="{00000000-0005-0000-0000-0000B5010000}"/>
    <cellStyle name="Normal 2 4 2 2 7" xfId="622" xr:uid="{00000000-0005-0000-0000-0000B6010000}"/>
    <cellStyle name="Normal 2 4 2 3" xfId="48" xr:uid="{00000000-0005-0000-0000-0000B7010000}"/>
    <cellStyle name="Normal 2 4 2 3 2" xfId="150" xr:uid="{00000000-0005-0000-0000-0000B8010000}"/>
    <cellStyle name="Normal 2 4 2 3 2 2" xfId="346" xr:uid="{00000000-0005-0000-0000-0000B9010000}"/>
    <cellStyle name="Normal 2 4 2 3 2 3" xfId="542" xr:uid="{00000000-0005-0000-0000-0000BA010000}"/>
    <cellStyle name="Normal 2 4 2 3 2 4" xfId="736" xr:uid="{00000000-0005-0000-0000-0000BB010000}"/>
    <cellStyle name="Normal 2 4 2 3 3" xfId="248" xr:uid="{00000000-0005-0000-0000-0000BC010000}"/>
    <cellStyle name="Normal 2 4 2 3 4" xfId="444" xr:uid="{00000000-0005-0000-0000-0000BD010000}"/>
    <cellStyle name="Normal 2 4 2 3 5" xfId="639" xr:uid="{00000000-0005-0000-0000-0000BE010000}"/>
    <cellStyle name="Normal 2 4 2 4" xfId="80" xr:uid="{00000000-0005-0000-0000-0000BF010000}"/>
    <cellStyle name="Normal 2 4 2 4 2" xfId="182" xr:uid="{00000000-0005-0000-0000-0000C0010000}"/>
    <cellStyle name="Normal 2 4 2 4 2 2" xfId="378" xr:uid="{00000000-0005-0000-0000-0000C1010000}"/>
    <cellStyle name="Normal 2 4 2 4 2 3" xfId="574" xr:uid="{00000000-0005-0000-0000-0000C2010000}"/>
    <cellStyle name="Normal 2 4 2 4 2 4" xfId="768" xr:uid="{00000000-0005-0000-0000-0000C3010000}"/>
    <cellStyle name="Normal 2 4 2 4 3" xfId="280" xr:uid="{00000000-0005-0000-0000-0000C4010000}"/>
    <cellStyle name="Normal 2 4 2 4 4" xfId="476" xr:uid="{00000000-0005-0000-0000-0000C5010000}"/>
    <cellStyle name="Normal 2 4 2 4 5" xfId="671" xr:uid="{00000000-0005-0000-0000-0000C6010000}"/>
    <cellStyle name="Normal 2 4 2 5" xfId="117" xr:uid="{00000000-0005-0000-0000-0000C7010000}"/>
    <cellStyle name="Normal 2 4 2 5 2" xfId="313" xr:uid="{00000000-0005-0000-0000-0000C8010000}"/>
    <cellStyle name="Normal 2 4 2 5 3" xfId="509" xr:uid="{00000000-0005-0000-0000-0000C9010000}"/>
    <cellStyle name="Normal 2 4 2 5 4" xfId="703" xr:uid="{00000000-0005-0000-0000-0000CA010000}"/>
    <cellStyle name="Normal 2 4 2 6" xfId="215" xr:uid="{00000000-0005-0000-0000-0000CB010000}"/>
    <cellStyle name="Normal 2 4 2 7" xfId="411" xr:uid="{00000000-0005-0000-0000-0000CC010000}"/>
    <cellStyle name="Normal 2 4 2 8" xfId="606" xr:uid="{00000000-0005-0000-0000-0000CD010000}"/>
    <cellStyle name="Normal 2 4 3" xfId="17" xr:uid="{00000000-0005-0000-0000-0000CE010000}"/>
    <cellStyle name="Normal 2 4 3 2" xfId="34" xr:uid="{00000000-0005-0000-0000-0000CF010000}"/>
    <cellStyle name="Normal 2 4 3 2 2" xfId="68" xr:uid="{00000000-0005-0000-0000-0000D0010000}"/>
    <cellStyle name="Normal 2 4 3 2 2 2" xfId="170" xr:uid="{00000000-0005-0000-0000-0000D1010000}"/>
    <cellStyle name="Normal 2 4 3 2 2 2 2" xfId="366" xr:uid="{00000000-0005-0000-0000-0000D2010000}"/>
    <cellStyle name="Normal 2 4 3 2 2 2 3" xfId="562" xr:uid="{00000000-0005-0000-0000-0000D3010000}"/>
    <cellStyle name="Normal 2 4 3 2 2 2 4" xfId="756" xr:uid="{00000000-0005-0000-0000-0000D4010000}"/>
    <cellStyle name="Normal 2 4 3 2 2 3" xfId="268" xr:uid="{00000000-0005-0000-0000-0000D5010000}"/>
    <cellStyle name="Normal 2 4 3 2 2 4" xfId="464" xr:uid="{00000000-0005-0000-0000-0000D6010000}"/>
    <cellStyle name="Normal 2 4 3 2 2 5" xfId="659" xr:uid="{00000000-0005-0000-0000-0000D7010000}"/>
    <cellStyle name="Normal 2 4 3 2 3" xfId="100" xr:uid="{00000000-0005-0000-0000-0000D8010000}"/>
    <cellStyle name="Normal 2 4 3 2 3 2" xfId="202" xr:uid="{00000000-0005-0000-0000-0000D9010000}"/>
    <cellStyle name="Normal 2 4 3 2 3 2 2" xfId="398" xr:uid="{00000000-0005-0000-0000-0000DA010000}"/>
    <cellStyle name="Normal 2 4 3 2 3 2 3" xfId="594" xr:uid="{00000000-0005-0000-0000-0000DB010000}"/>
    <cellStyle name="Normal 2 4 3 2 3 2 4" xfId="788" xr:uid="{00000000-0005-0000-0000-0000DC010000}"/>
    <cellStyle name="Normal 2 4 3 2 3 3" xfId="300" xr:uid="{00000000-0005-0000-0000-0000DD010000}"/>
    <cellStyle name="Normal 2 4 3 2 3 4" xfId="496" xr:uid="{00000000-0005-0000-0000-0000DE010000}"/>
    <cellStyle name="Normal 2 4 3 2 3 5" xfId="691" xr:uid="{00000000-0005-0000-0000-0000DF010000}"/>
    <cellStyle name="Normal 2 4 3 2 4" xfId="137" xr:uid="{00000000-0005-0000-0000-0000E0010000}"/>
    <cellStyle name="Normal 2 4 3 2 4 2" xfId="333" xr:uid="{00000000-0005-0000-0000-0000E1010000}"/>
    <cellStyle name="Normal 2 4 3 2 4 3" xfId="529" xr:uid="{00000000-0005-0000-0000-0000E2010000}"/>
    <cellStyle name="Normal 2 4 3 2 4 4" xfId="723" xr:uid="{00000000-0005-0000-0000-0000E3010000}"/>
    <cellStyle name="Normal 2 4 3 2 5" xfId="235" xr:uid="{00000000-0005-0000-0000-0000E4010000}"/>
    <cellStyle name="Normal 2 4 3 2 6" xfId="431" xr:uid="{00000000-0005-0000-0000-0000E5010000}"/>
    <cellStyle name="Normal 2 4 3 2 7" xfId="626" xr:uid="{00000000-0005-0000-0000-0000E6010000}"/>
    <cellStyle name="Normal 2 4 3 3" xfId="52" xr:uid="{00000000-0005-0000-0000-0000E7010000}"/>
    <cellStyle name="Normal 2 4 3 3 2" xfId="154" xr:uid="{00000000-0005-0000-0000-0000E8010000}"/>
    <cellStyle name="Normal 2 4 3 3 2 2" xfId="350" xr:uid="{00000000-0005-0000-0000-0000E9010000}"/>
    <cellStyle name="Normal 2 4 3 3 2 3" xfId="546" xr:uid="{00000000-0005-0000-0000-0000EA010000}"/>
    <cellStyle name="Normal 2 4 3 3 2 4" xfId="740" xr:uid="{00000000-0005-0000-0000-0000EB010000}"/>
    <cellStyle name="Normal 2 4 3 3 3" xfId="252" xr:uid="{00000000-0005-0000-0000-0000EC010000}"/>
    <cellStyle name="Normal 2 4 3 3 4" xfId="448" xr:uid="{00000000-0005-0000-0000-0000ED010000}"/>
    <cellStyle name="Normal 2 4 3 3 5" xfId="643" xr:uid="{00000000-0005-0000-0000-0000EE010000}"/>
    <cellStyle name="Normal 2 4 3 4" xfId="84" xr:uid="{00000000-0005-0000-0000-0000EF010000}"/>
    <cellStyle name="Normal 2 4 3 4 2" xfId="186" xr:uid="{00000000-0005-0000-0000-0000F0010000}"/>
    <cellStyle name="Normal 2 4 3 4 2 2" xfId="382" xr:uid="{00000000-0005-0000-0000-0000F1010000}"/>
    <cellStyle name="Normal 2 4 3 4 2 3" xfId="578" xr:uid="{00000000-0005-0000-0000-0000F2010000}"/>
    <cellStyle name="Normal 2 4 3 4 2 4" xfId="772" xr:uid="{00000000-0005-0000-0000-0000F3010000}"/>
    <cellStyle name="Normal 2 4 3 4 3" xfId="284" xr:uid="{00000000-0005-0000-0000-0000F4010000}"/>
    <cellStyle name="Normal 2 4 3 4 4" xfId="480" xr:uid="{00000000-0005-0000-0000-0000F5010000}"/>
    <cellStyle name="Normal 2 4 3 4 5" xfId="675" xr:uid="{00000000-0005-0000-0000-0000F6010000}"/>
    <cellStyle name="Normal 2 4 3 5" xfId="121" xr:uid="{00000000-0005-0000-0000-0000F7010000}"/>
    <cellStyle name="Normal 2 4 3 5 2" xfId="317" xr:uid="{00000000-0005-0000-0000-0000F8010000}"/>
    <cellStyle name="Normal 2 4 3 5 3" xfId="513" xr:uid="{00000000-0005-0000-0000-0000F9010000}"/>
    <cellStyle name="Normal 2 4 3 5 4" xfId="707" xr:uid="{00000000-0005-0000-0000-0000FA010000}"/>
    <cellStyle name="Normal 2 4 3 6" xfId="219" xr:uid="{00000000-0005-0000-0000-0000FB010000}"/>
    <cellStyle name="Normal 2 4 3 7" xfId="415" xr:uid="{00000000-0005-0000-0000-0000FC010000}"/>
    <cellStyle name="Normal 2 4 3 8" xfId="610" xr:uid="{00000000-0005-0000-0000-0000FD010000}"/>
    <cellStyle name="Normal 2 4 4" xfId="22" xr:uid="{00000000-0005-0000-0000-0000FE010000}"/>
    <cellStyle name="Normal 2 4 4 2" xfId="39" xr:uid="{00000000-0005-0000-0000-0000FF010000}"/>
    <cellStyle name="Normal 2 4 4 2 2" xfId="72" xr:uid="{00000000-0005-0000-0000-000000020000}"/>
    <cellStyle name="Normal 2 4 4 2 2 2" xfId="174" xr:uid="{00000000-0005-0000-0000-000001020000}"/>
    <cellStyle name="Normal 2 4 4 2 2 2 2" xfId="370" xr:uid="{00000000-0005-0000-0000-000002020000}"/>
    <cellStyle name="Normal 2 4 4 2 2 2 3" xfId="566" xr:uid="{00000000-0005-0000-0000-000003020000}"/>
    <cellStyle name="Normal 2 4 4 2 2 2 4" xfId="760" xr:uid="{00000000-0005-0000-0000-000004020000}"/>
    <cellStyle name="Normal 2 4 4 2 2 3" xfId="272" xr:uid="{00000000-0005-0000-0000-000005020000}"/>
    <cellStyle name="Normal 2 4 4 2 2 4" xfId="468" xr:uid="{00000000-0005-0000-0000-000006020000}"/>
    <cellStyle name="Normal 2 4 4 2 2 5" xfId="663" xr:uid="{00000000-0005-0000-0000-000007020000}"/>
    <cellStyle name="Normal 2 4 4 2 3" xfId="104" xr:uid="{00000000-0005-0000-0000-000008020000}"/>
    <cellStyle name="Normal 2 4 4 2 3 2" xfId="206" xr:uid="{00000000-0005-0000-0000-000009020000}"/>
    <cellStyle name="Normal 2 4 4 2 3 2 2" xfId="402" xr:uid="{00000000-0005-0000-0000-00000A020000}"/>
    <cellStyle name="Normal 2 4 4 2 3 2 3" xfId="598" xr:uid="{00000000-0005-0000-0000-00000B020000}"/>
    <cellStyle name="Normal 2 4 4 2 3 2 4" xfId="792" xr:uid="{00000000-0005-0000-0000-00000C020000}"/>
    <cellStyle name="Normal 2 4 4 2 3 3" xfId="304" xr:uid="{00000000-0005-0000-0000-00000D020000}"/>
    <cellStyle name="Normal 2 4 4 2 3 4" xfId="500" xr:uid="{00000000-0005-0000-0000-00000E020000}"/>
    <cellStyle name="Normal 2 4 4 2 3 5" xfId="695" xr:uid="{00000000-0005-0000-0000-00000F020000}"/>
    <cellStyle name="Normal 2 4 4 2 4" xfId="141" xr:uid="{00000000-0005-0000-0000-000010020000}"/>
    <cellStyle name="Normal 2 4 4 2 4 2" xfId="337" xr:uid="{00000000-0005-0000-0000-000011020000}"/>
    <cellStyle name="Normal 2 4 4 2 4 3" xfId="533" xr:uid="{00000000-0005-0000-0000-000012020000}"/>
    <cellStyle name="Normal 2 4 4 2 4 4" xfId="727" xr:uid="{00000000-0005-0000-0000-000013020000}"/>
    <cellStyle name="Normal 2 4 4 2 5" xfId="239" xr:uid="{00000000-0005-0000-0000-000014020000}"/>
    <cellStyle name="Normal 2 4 4 2 6" xfId="435" xr:uid="{00000000-0005-0000-0000-000015020000}"/>
    <cellStyle name="Normal 2 4 4 2 7" xfId="630" xr:uid="{00000000-0005-0000-0000-000016020000}"/>
    <cellStyle name="Normal 2 4 4 3" xfId="56" xr:uid="{00000000-0005-0000-0000-000017020000}"/>
    <cellStyle name="Normal 2 4 4 3 2" xfId="158" xr:uid="{00000000-0005-0000-0000-000018020000}"/>
    <cellStyle name="Normal 2 4 4 3 2 2" xfId="354" xr:uid="{00000000-0005-0000-0000-000019020000}"/>
    <cellStyle name="Normal 2 4 4 3 2 3" xfId="550" xr:uid="{00000000-0005-0000-0000-00001A020000}"/>
    <cellStyle name="Normal 2 4 4 3 2 4" xfId="744" xr:uid="{00000000-0005-0000-0000-00001B020000}"/>
    <cellStyle name="Normal 2 4 4 3 3" xfId="256" xr:uid="{00000000-0005-0000-0000-00001C020000}"/>
    <cellStyle name="Normal 2 4 4 3 4" xfId="452" xr:uid="{00000000-0005-0000-0000-00001D020000}"/>
    <cellStyle name="Normal 2 4 4 3 5" xfId="647" xr:uid="{00000000-0005-0000-0000-00001E020000}"/>
    <cellStyle name="Normal 2 4 4 4" xfId="88" xr:uid="{00000000-0005-0000-0000-00001F020000}"/>
    <cellStyle name="Normal 2 4 4 4 2" xfId="190" xr:uid="{00000000-0005-0000-0000-000020020000}"/>
    <cellStyle name="Normal 2 4 4 4 2 2" xfId="386" xr:uid="{00000000-0005-0000-0000-000021020000}"/>
    <cellStyle name="Normal 2 4 4 4 2 3" xfId="582" xr:uid="{00000000-0005-0000-0000-000022020000}"/>
    <cellStyle name="Normal 2 4 4 4 2 4" xfId="776" xr:uid="{00000000-0005-0000-0000-000023020000}"/>
    <cellStyle name="Normal 2 4 4 4 3" xfId="288" xr:uid="{00000000-0005-0000-0000-000024020000}"/>
    <cellStyle name="Normal 2 4 4 4 4" xfId="484" xr:uid="{00000000-0005-0000-0000-000025020000}"/>
    <cellStyle name="Normal 2 4 4 4 5" xfId="679" xr:uid="{00000000-0005-0000-0000-000026020000}"/>
    <cellStyle name="Normal 2 4 4 5" xfId="125" xr:uid="{00000000-0005-0000-0000-000027020000}"/>
    <cellStyle name="Normal 2 4 4 5 2" xfId="321" xr:uid="{00000000-0005-0000-0000-000028020000}"/>
    <cellStyle name="Normal 2 4 4 5 3" xfId="517" xr:uid="{00000000-0005-0000-0000-000029020000}"/>
    <cellStyle name="Normal 2 4 4 5 4" xfId="711" xr:uid="{00000000-0005-0000-0000-00002A020000}"/>
    <cellStyle name="Normal 2 4 4 6" xfId="223" xr:uid="{00000000-0005-0000-0000-00002B020000}"/>
    <cellStyle name="Normal 2 4 4 7" xfId="419" xr:uid="{00000000-0005-0000-0000-00002C020000}"/>
    <cellStyle name="Normal 2 4 4 8" xfId="614" xr:uid="{00000000-0005-0000-0000-00002D020000}"/>
    <cellStyle name="Normal 2 4 5" xfId="26" xr:uid="{00000000-0005-0000-0000-00002E020000}"/>
    <cellStyle name="Normal 2 4 5 2" xfId="60" xr:uid="{00000000-0005-0000-0000-00002F020000}"/>
    <cellStyle name="Normal 2 4 5 2 2" xfId="162" xr:uid="{00000000-0005-0000-0000-000030020000}"/>
    <cellStyle name="Normal 2 4 5 2 2 2" xfId="358" xr:uid="{00000000-0005-0000-0000-000031020000}"/>
    <cellStyle name="Normal 2 4 5 2 2 3" xfId="554" xr:uid="{00000000-0005-0000-0000-000032020000}"/>
    <cellStyle name="Normal 2 4 5 2 2 4" xfId="748" xr:uid="{00000000-0005-0000-0000-000033020000}"/>
    <cellStyle name="Normal 2 4 5 2 3" xfId="260" xr:uid="{00000000-0005-0000-0000-000034020000}"/>
    <cellStyle name="Normal 2 4 5 2 4" xfId="456" xr:uid="{00000000-0005-0000-0000-000035020000}"/>
    <cellStyle name="Normal 2 4 5 2 5" xfId="651" xr:uid="{00000000-0005-0000-0000-000036020000}"/>
    <cellStyle name="Normal 2 4 5 3" xfId="92" xr:uid="{00000000-0005-0000-0000-000037020000}"/>
    <cellStyle name="Normal 2 4 5 3 2" xfId="194" xr:uid="{00000000-0005-0000-0000-000038020000}"/>
    <cellStyle name="Normal 2 4 5 3 2 2" xfId="390" xr:uid="{00000000-0005-0000-0000-000039020000}"/>
    <cellStyle name="Normal 2 4 5 3 2 3" xfId="586" xr:uid="{00000000-0005-0000-0000-00003A020000}"/>
    <cellStyle name="Normal 2 4 5 3 2 4" xfId="780" xr:uid="{00000000-0005-0000-0000-00003B020000}"/>
    <cellStyle name="Normal 2 4 5 3 3" xfId="292" xr:uid="{00000000-0005-0000-0000-00003C020000}"/>
    <cellStyle name="Normal 2 4 5 3 4" xfId="488" xr:uid="{00000000-0005-0000-0000-00003D020000}"/>
    <cellStyle name="Normal 2 4 5 3 5" xfId="683" xr:uid="{00000000-0005-0000-0000-00003E020000}"/>
    <cellStyle name="Normal 2 4 5 4" xfId="129" xr:uid="{00000000-0005-0000-0000-00003F020000}"/>
    <cellStyle name="Normal 2 4 5 4 2" xfId="325" xr:uid="{00000000-0005-0000-0000-000040020000}"/>
    <cellStyle name="Normal 2 4 5 4 3" xfId="521" xr:uid="{00000000-0005-0000-0000-000041020000}"/>
    <cellStyle name="Normal 2 4 5 4 4" xfId="715" xr:uid="{00000000-0005-0000-0000-000042020000}"/>
    <cellStyle name="Normal 2 4 5 5" xfId="227" xr:uid="{00000000-0005-0000-0000-000043020000}"/>
    <cellStyle name="Normal 2 4 5 6" xfId="423" xr:uid="{00000000-0005-0000-0000-000044020000}"/>
    <cellStyle name="Normal 2 4 5 7" xfId="618" xr:uid="{00000000-0005-0000-0000-000045020000}"/>
    <cellStyle name="Normal 2 4 6" xfId="44" xr:uid="{00000000-0005-0000-0000-000046020000}"/>
    <cellStyle name="Normal 2 4 6 2" xfId="146" xr:uid="{00000000-0005-0000-0000-000047020000}"/>
    <cellStyle name="Normal 2 4 6 2 2" xfId="342" xr:uid="{00000000-0005-0000-0000-000048020000}"/>
    <cellStyle name="Normal 2 4 6 2 3" xfId="538" xr:uid="{00000000-0005-0000-0000-000049020000}"/>
    <cellStyle name="Normal 2 4 6 2 4" xfId="732" xr:uid="{00000000-0005-0000-0000-00004A020000}"/>
    <cellStyle name="Normal 2 4 6 3" xfId="244" xr:uid="{00000000-0005-0000-0000-00004B020000}"/>
    <cellStyle name="Normal 2 4 6 4" xfId="440" xr:uid="{00000000-0005-0000-0000-00004C020000}"/>
    <cellStyle name="Normal 2 4 6 5" xfId="635" xr:uid="{00000000-0005-0000-0000-00004D020000}"/>
    <cellStyle name="Normal 2 4 7" xfId="76" xr:uid="{00000000-0005-0000-0000-00004E020000}"/>
    <cellStyle name="Normal 2 4 7 2" xfId="178" xr:uid="{00000000-0005-0000-0000-00004F020000}"/>
    <cellStyle name="Normal 2 4 7 2 2" xfId="374" xr:uid="{00000000-0005-0000-0000-000050020000}"/>
    <cellStyle name="Normal 2 4 7 2 3" xfId="570" xr:uid="{00000000-0005-0000-0000-000051020000}"/>
    <cellStyle name="Normal 2 4 7 2 4" xfId="764" xr:uid="{00000000-0005-0000-0000-000052020000}"/>
    <cellStyle name="Normal 2 4 7 3" xfId="276" xr:uid="{00000000-0005-0000-0000-000053020000}"/>
    <cellStyle name="Normal 2 4 7 4" xfId="472" xr:uid="{00000000-0005-0000-0000-000054020000}"/>
    <cellStyle name="Normal 2 4 7 5" xfId="667" xr:uid="{00000000-0005-0000-0000-000055020000}"/>
    <cellStyle name="Normal 2 4 8" xfId="113" xr:uid="{00000000-0005-0000-0000-000056020000}"/>
    <cellStyle name="Normal 2 4 8 2" xfId="309" xr:uid="{00000000-0005-0000-0000-000057020000}"/>
    <cellStyle name="Normal 2 4 8 3" xfId="505" xr:uid="{00000000-0005-0000-0000-000058020000}"/>
    <cellStyle name="Normal 2 4 8 4" xfId="699" xr:uid="{00000000-0005-0000-0000-000059020000}"/>
    <cellStyle name="Normal 2 4 9" xfId="211" xr:uid="{00000000-0005-0000-0000-00005A020000}"/>
    <cellStyle name="Normal 2 5" xfId="10" xr:uid="{00000000-0005-0000-0000-00005B020000}"/>
    <cellStyle name="Normal 2 5 2" xfId="27" xr:uid="{00000000-0005-0000-0000-00005C020000}"/>
    <cellStyle name="Normal 2 5 2 2" xfId="61" xr:uid="{00000000-0005-0000-0000-00005D020000}"/>
    <cellStyle name="Normal 2 5 2 2 2" xfId="163" xr:uid="{00000000-0005-0000-0000-00005E020000}"/>
    <cellStyle name="Normal 2 5 2 2 2 2" xfId="359" xr:uid="{00000000-0005-0000-0000-00005F020000}"/>
    <cellStyle name="Normal 2 5 2 2 2 3" xfId="555" xr:uid="{00000000-0005-0000-0000-000060020000}"/>
    <cellStyle name="Normal 2 5 2 2 2 4" xfId="749" xr:uid="{00000000-0005-0000-0000-000061020000}"/>
    <cellStyle name="Normal 2 5 2 2 3" xfId="261" xr:uid="{00000000-0005-0000-0000-000062020000}"/>
    <cellStyle name="Normal 2 5 2 2 4" xfId="457" xr:uid="{00000000-0005-0000-0000-000063020000}"/>
    <cellStyle name="Normal 2 5 2 2 5" xfId="652" xr:uid="{00000000-0005-0000-0000-000064020000}"/>
    <cellStyle name="Normal 2 5 2 3" xfId="93" xr:uid="{00000000-0005-0000-0000-000065020000}"/>
    <cellStyle name="Normal 2 5 2 3 2" xfId="195" xr:uid="{00000000-0005-0000-0000-000066020000}"/>
    <cellStyle name="Normal 2 5 2 3 2 2" xfId="391" xr:uid="{00000000-0005-0000-0000-000067020000}"/>
    <cellStyle name="Normal 2 5 2 3 2 3" xfId="587" xr:uid="{00000000-0005-0000-0000-000068020000}"/>
    <cellStyle name="Normal 2 5 2 3 2 4" xfId="781" xr:uid="{00000000-0005-0000-0000-000069020000}"/>
    <cellStyle name="Normal 2 5 2 3 3" xfId="293" xr:uid="{00000000-0005-0000-0000-00006A020000}"/>
    <cellStyle name="Normal 2 5 2 3 4" xfId="489" xr:uid="{00000000-0005-0000-0000-00006B020000}"/>
    <cellStyle name="Normal 2 5 2 3 5" xfId="684" xr:uid="{00000000-0005-0000-0000-00006C020000}"/>
    <cellStyle name="Normal 2 5 2 4" xfId="130" xr:uid="{00000000-0005-0000-0000-00006D020000}"/>
    <cellStyle name="Normal 2 5 2 4 2" xfId="326" xr:uid="{00000000-0005-0000-0000-00006E020000}"/>
    <cellStyle name="Normal 2 5 2 4 3" xfId="522" xr:uid="{00000000-0005-0000-0000-00006F020000}"/>
    <cellStyle name="Normal 2 5 2 4 4" xfId="716" xr:uid="{00000000-0005-0000-0000-000070020000}"/>
    <cellStyle name="Normal 2 5 2 5" xfId="228" xr:uid="{00000000-0005-0000-0000-000071020000}"/>
    <cellStyle name="Normal 2 5 2 6" xfId="424" xr:uid="{00000000-0005-0000-0000-000072020000}"/>
    <cellStyle name="Normal 2 5 2 7" xfId="619" xr:uid="{00000000-0005-0000-0000-000073020000}"/>
    <cellStyle name="Normal 2 5 3" xfId="45" xr:uid="{00000000-0005-0000-0000-000074020000}"/>
    <cellStyle name="Normal 2 5 3 2" xfId="147" xr:uid="{00000000-0005-0000-0000-000075020000}"/>
    <cellStyle name="Normal 2 5 3 2 2" xfId="343" xr:uid="{00000000-0005-0000-0000-000076020000}"/>
    <cellStyle name="Normal 2 5 3 2 3" xfId="539" xr:uid="{00000000-0005-0000-0000-000077020000}"/>
    <cellStyle name="Normal 2 5 3 2 4" xfId="733" xr:uid="{00000000-0005-0000-0000-000078020000}"/>
    <cellStyle name="Normal 2 5 3 3" xfId="245" xr:uid="{00000000-0005-0000-0000-000079020000}"/>
    <cellStyle name="Normal 2 5 3 4" xfId="441" xr:uid="{00000000-0005-0000-0000-00007A020000}"/>
    <cellStyle name="Normal 2 5 3 5" xfId="636" xr:uid="{00000000-0005-0000-0000-00007B020000}"/>
    <cellStyle name="Normal 2 5 4" xfId="77" xr:uid="{00000000-0005-0000-0000-00007C020000}"/>
    <cellStyle name="Normal 2 5 4 2" xfId="179" xr:uid="{00000000-0005-0000-0000-00007D020000}"/>
    <cellStyle name="Normal 2 5 4 2 2" xfId="375" xr:uid="{00000000-0005-0000-0000-00007E020000}"/>
    <cellStyle name="Normal 2 5 4 2 3" xfId="571" xr:uid="{00000000-0005-0000-0000-00007F020000}"/>
    <cellStyle name="Normal 2 5 4 2 4" xfId="765" xr:uid="{00000000-0005-0000-0000-000080020000}"/>
    <cellStyle name="Normal 2 5 4 3" xfId="277" xr:uid="{00000000-0005-0000-0000-000081020000}"/>
    <cellStyle name="Normal 2 5 4 4" xfId="473" xr:uid="{00000000-0005-0000-0000-000082020000}"/>
    <cellStyle name="Normal 2 5 4 5" xfId="668" xr:uid="{00000000-0005-0000-0000-000083020000}"/>
    <cellStyle name="Normal 2 5 5" xfId="114" xr:uid="{00000000-0005-0000-0000-000084020000}"/>
    <cellStyle name="Normal 2 5 5 2" xfId="310" xr:uid="{00000000-0005-0000-0000-000085020000}"/>
    <cellStyle name="Normal 2 5 5 3" xfId="506" xr:uid="{00000000-0005-0000-0000-000086020000}"/>
    <cellStyle name="Normal 2 5 5 4" xfId="700" xr:uid="{00000000-0005-0000-0000-000087020000}"/>
    <cellStyle name="Normal 2 5 6" xfId="212" xr:uid="{00000000-0005-0000-0000-000088020000}"/>
    <cellStyle name="Normal 2 5 7" xfId="408" xr:uid="{00000000-0005-0000-0000-000089020000}"/>
    <cellStyle name="Normal 2 5 8" xfId="603" xr:uid="{00000000-0005-0000-0000-00008A020000}"/>
    <cellStyle name="Normal 2 6" xfId="14" xr:uid="{00000000-0005-0000-0000-00008B020000}"/>
    <cellStyle name="Normal 2 6 2" xfId="31" xr:uid="{00000000-0005-0000-0000-00008C020000}"/>
    <cellStyle name="Normal 2 6 2 2" xfId="65" xr:uid="{00000000-0005-0000-0000-00008D020000}"/>
    <cellStyle name="Normal 2 6 2 2 2" xfId="167" xr:uid="{00000000-0005-0000-0000-00008E020000}"/>
    <cellStyle name="Normal 2 6 2 2 2 2" xfId="363" xr:uid="{00000000-0005-0000-0000-00008F020000}"/>
    <cellStyle name="Normal 2 6 2 2 2 3" xfId="559" xr:uid="{00000000-0005-0000-0000-000090020000}"/>
    <cellStyle name="Normal 2 6 2 2 2 4" xfId="753" xr:uid="{00000000-0005-0000-0000-000091020000}"/>
    <cellStyle name="Normal 2 6 2 2 3" xfId="265" xr:uid="{00000000-0005-0000-0000-000092020000}"/>
    <cellStyle name="Normal 2 6 2 2 4" xfId="461" xr:uid="{00000000-0005-0000-0000-000093020000}"/>
    <cellStyle name="Normal 2 6 2 2 5" xfId="656" xr:uid="{00000000-0005-0000-0000-000094020000}"/>
    <cellStyle name="Normal 2 6 2 3" xfId="97" xr:uid="{00000000-0005-0000-0000-000095020000}"/>
    <cellStyle name="Normal 2 6 2 3 2" xfId="199" xr:uid="{00000000-0005-0000-0000-000096020000}"/>
    <cellStyle name="Normal 2 6 2 3 2 2" xfId="395" xr:uid="{00000000-0005-0000-0000-000097020000}"/>
    <cellStyle name="Normal 2 6 2 3 2 3" xfId="591" xr:uid="{00000000-0005-0000-0000-000098020000}"/>
    <cellStyle name="Normal 2 6 2 3 2 4" xfId="785" xr:uid="{00000000-0005-0000-0000-000099020000}"/>
    <cellStyle name="Normal 2 6 2 3 3" xfId="297" xr:uid="{00000000-0005-0000-0000-00009A020000}"/>
    <cellStyle name="Normal 2 6 2 3 4" xfId="493" xr:uid="{00000000-0005-0000-0000-00009B020000}"/>
    <cellStyle name="Normal 2 6 2 3 5" xfId="688" xr:uid="{00000000-0005-0000-0000-00009C020000}"/>
    <cellStyle name="Normal 2 6 2 4" xfId="134" xr:uid="{00000000-0005-0000-0000-00009D020000}"/>
    <cellStyle name="Normal 2 6 2 4 2" xfId="330" xr:uid="{00000000-0005-0000-0000-00009E020000}"/>
    <cellStyle name="Normal 2 6 2 4 3" xfId="526" xr:uid="{00000000-0005-0000-0000-00009F020000}"/>
    <cellStyle name="Normal 2 6 2 4 4" xfId="720" xr:uid="{00000000-0005-0000-0000-0000A0020000}"/>
    <cellStyle name="Normal 2 6 2 5" xfId="232" xr:uid="{00000000-0005-0000-0000-0000A1020000}"/>
    <cellStyle name="Normal 2 6 2 6" xfId="428" xr:uid="{00000000-0005-0000-0000-0000A2020000}"/>
    <cellStyle name="Normal 2 6 2 7" xfId="623" xr:uid="{00000000-0005-0000-0000-0000A3020000}"/>
    <cellStyle name="Normal 2 6 3" xfId="49" xr:uid="{00000000-0005-0000-0000-0000A4020000}"/>
    <cellStyle name="Normal 2 6 3 2" xfId="151" xr:uid="{00000000-0005-0000-0000-0000A5020000}"/>
    <cellStyle name="Normal 2 6 3 2 2" xfId="347" xr:uid="{00000000-0005-0000-0000-0000A6020000}"/>
    <cellStyle name="Normal 2 6 3 2 3" xfId="543" xr:uid="{00000000-0005-0000-0000-0000A7020000}"/>
    <cellStyle name="Normal 2 6 3 2 4" xfId="737" xr:uid="{00000000-0005-0000-0000-0000A8020000}"/>
    <cellStyle name="Normal 2 6 3 3" xfId="249" xr:uid="{00000000-0005-0000-0000-0000A9020000}"/>
    <cellStyle name="Normal 2 6 3 4" xfId="445" xr:uid="{00000000-0005-0000-0000-0000AA020000}"/>
    <cellStyle name="Normal 2 6 3 5" xfId="640" xr:uid="{00000000-0005-0000-0000-0000AB020000}"/>
    <cellStyle name="Normal 2 6 4" xfId="81" xr:uid="{00000000-0005-0000-0000-0000AC020000}"/>
    <cellStyle name="Normal 2 6 4 2" xfId="183" xr:uid="{00000000-0005-0000-0000-0000AD020000}"/>
    <cellStyle name="Normal 2 6 4 2 2" xfId="379" xr:uid="{00000000-0005-0000-0000-0000AE020000}"/>
    <cellStyle name="Normal 2 6 4 2 3" xfId="575" xr:uid="{00000000-0005-0000-0000-0000AF020000}"/>
    <cellStyle name="Normal 2 6 4 2 4" xfId="769" xr:uid="{00000000-0005-0000-0000-0000B0020000}"/>
    <cellStyle name="Normal 2 6 4 3" xfId="281" xr:uid="{00000000-0005-0000-0000-0000B1020000}"/>
    <cellStyle name="Normal 2 6 4 4" xfId="477" xr:uid="{00000000-0005-0000-0000-0000B2020000}"/>
    <cellStyle name="Normal 2 6 4 5" xfId="672" xr:uid="{00000000-0005-0000-0000-0000B3020000}"/>
    <cellStyle name="Normal 2 6 5" xfId="118" xr:uid="{00000000-0005-0000-0000-0000B4020000}"/>
    <cellStyle name="Normal 2 6 5 2" xfId="314" xr:uid="{00000000-0005-0000-0000-0000B5020000}"/>
    <cellStyle name="Normal 2 6 5 3" xfId="510" xr:uid="{00000000-0005-0000-0000-0000B6020000}"/>
    <cellStyle name="Normal 2 6 5 4" xfId="704" xr:uid="{00000000-0005-0000-0000-0000B7020000}"/>
    <cellStyle name="Normal 2 6 6" xfId="216" xr:uid="{00000000-0005-0000-0000-0000B8020000}"/>
    <cellStyle name="Normal 2 6 7" xfId="412" xr:uid="{00000000-0005-0000-0000-0000B9020000}"/>
    <cellStyle name="Normal 2 6 8" xfId="607" xr:uid="{00000000-0005-0000-0000-0000BA020000}"/>
    <cellStyle name="Normal 2 7" xfId="18" xr:uid="{00000000-0005-0000-0000-0000BB020000}"/>
    <cellStyle name="Normal 2 7 2" xfId="35" xr:uid="{00000000-0005-0000-0000-0000BC020000}"/>
    <cellStyle name="Normal 2 7 2 2" xfId="69" xr:uid="{00000000-0005-0000-0000-0000BD020000}"/>
    <cellStyle name="Normal 2 7 2 2 2" xfId="171" xr:uid="{00000000-0005-0000-0000-0000BE020000}"/>
    <cellStyle name="Normal 2 7 2 2 2 2" xfId="367" xr:uid="{00000000-0005-0000-0000-0000BF020000}"/>
    <cellStyle name="Normal 2 7 2 2 2 3" xfId="563" xr:uid="{00000000-0005-0000-0000-0000C0020000}"/>
    <cellStyle name="Normal 2 7 2 2 2 4" xfId="757" xr:uid="{00000000-0005-0000-0000-0000C1020000}"/>
    <cellStyle name="Normal 2 7 2 2 3" xfId="269" xr:uid="{00000000-0005-0000-0000-0000C2020000}"/>
    <cellStyle name="Normal 2 7 2 2 4" xfId="465" xr:uid="{00000000-0005-0000-0000-0000C3020000}"/>
    <cellStyle name="Normal 2 7 2 2 5" xfId="660" xr:uid="{00000000-0005-0000-0000-0000C4020000}"/>
    <cellStyle name="Normal 2 7 2 3" xfId="101" xr:uid="{00000000-0005-0000-0000-0000C5020000}"/>
    <cellStyle name="Normal 2 7 2 3 2" xfId="203" xr:uid="{00000000-0005-0000-0000-0000C6020000}"/>
    <cellStyle name="Normal 2 7 2 3 2 2" xfId="399" xr:uid="{00000000-0005-0000-0000-0000C7020000}"/>
    <cellStyle name="Normal 2 7 2 3 2 3" xfId="595" xr:uid="{00000000-0005-0000-0000-0000C8020000}"/>
    <cellStyle name="Normal 2 7 2 3 2 4" xfId="789" xr:uid="{00000000-0005-0000-0000-0000C9020000}"/>
    <cellStyle name="Normal 2 7 2 3 3" xfId="301" xr:uid="{00000000-0005-0000-0000-0000CA020000}"/>
    <cellStyle name="Normal 2 7 2 3 4" xfId="497" xr:uid="{00000000-0005-0000-0000-0000CB020000}"/>
    <cellStyle name="Normal 2 7 2 3 5" xfId="692" xr:uid="{00000000-0005-0000-0000-0000CC020000}"/>
    <cellStyle name="Normal 2 7 2 4" xfId="138" xr:uid="{00000000-0005-0000-0000-0000CD020000}"/>
    <cellStyle name="Normal 2 7 2 4 2" xfId="334" xr:uid="{00000000-0005-0000-0000-0000CE020000}"/>
    <cellStyle name="Normal 2 7 2 4 3" xfId="530" xr:uid="{00000000-0005-0000-0000-0000CF020000}"/>
    <cellStyle name="Normal 2 7 2 4 4" xfId="724" xr:uid="{00000000-0005-0000-0000-0000D0020000}"/>
    <cellStyle name="Normal 2 7 2 5" xfId="236" xr:uid="{00000000-0005-0000-0000-0000D1020000}"/>
    <cellStyle name="Normal 2 7 2 6" xfId="432" xr:uid="{00000000-0005-0000-0000-0000D2020000}"/>
    <cellStyle name="Normal 2 7 2 7" xfId="627" xr:uid="{00000000-0005-0000-0000-0000D3020000}"/>
    <cellStyle name="Normal 2 7 3" xfId="53" xr:uid="{00000000-0005-0000-0000-0000D4020000}"/>
    <cellStyle name="Normal 2 7 3 2" xfId="155" xr:uid="{00000000-0005-0000-0000-0000D5020000}"/>
    <cellStyle name="Normal 2 7 3 2 2" xfId="351" xr:uid="{00000000-0005-0000-0000-0000D6020000}"/>
    <cellStyle name="Normal 2 7 3 2 3" xfId="547" xr:uid="{00000000-0005-0000-0000-0000D7020000}"/>
    <cellStyle name="Normal 2 7 3 2 4" xfId="741" xr:uid="{00000000-0005-0000-0000-0000D8020000}"/>
    <cellStyle name="Normal 2 7 3 3" xfId="253" xr:uid="{00000000-0005-0000-0000-0000D9020000}"/>
    <cellStyle name="Normal 2 7 3 4" xfId="449" xr:uid="{00000000-0005-0000-0000-0000DA020000}"/>
    <cellStyle name="Normal 2 7 3 5" xfId="644" xr:uid="{00000000-0005-0000-0000-0000DB020000}"/>
    <cellStyle name="Normal 2 7 4" xfId="85" xr:uid="{00000000-0005-0000-0000-0000DC020000}"/>
    <cellStyle name="Normal 2 7 4 2" xfId="187" xr:uid="{00000000-0005-0000-0000-0000DD020000}"/>
    <cellStyle name="Normal 2 7 4 2 2" xfId="383" xr:uid="{00000000-0005-0000-0000-0000DE020000}"/>
    <cellStyle name="Normal 2 7 4 2 3" xfId="579" xr:uid="{00000000-0005-0000-0000-0000DF020000}"/>
    <cellStyle name="Normal 2 7 4 2 4" xfId="773" xr:uid="{00000000-0005-0000-0000-0000E0020000}"/>
    <cellStyle name="Normal 2 7 4 3" xfId="285" xr:uid="{00000000-0005-0000-0000-0000E1020000}"/>
    <cellStyle name="Normal 2 7 4 4" xfId="481" xr:uid="{00000000-0005-0000-0000-0000E2020000}"/>
    <cellStyle name="Normal 2 7 4 5" xfId="676" xr:uid="{00000000-0005-0000-0000-0000E3020000}"/>
    <cellStyle name="Normal 2 7 5" xfId="122" xr:uid="{00000000-0005-0000-0000-0000E4020000}"/>
    <cellStyle name="Normal 2 7 5 2" xfId="318" xr:uid="{00000000-0005-0000-0000-0000E5020000}"/>
    <cellStyle name="Normal 2 7 5 3" xfId="514" xr:uid="{00000000-0005-0000-0000-0000E6020000}"/>
    <cellStyle name="Normal 2 7 5 4" xfId="708" xr:uid="{00000000-0005-0000-0000-0000E7020000}"/>
    <cellStyle name="Normal 2 7 6" xfId="220" xr:uid="{00000000-0005-0000-0000-0000E8020000}"/>
    <cellStyle name="Normal 2 7 7" xfId="416" xr:uid="{00000000-0005-0000-0000-0000E9020000}"/>
    <cellStyle name="Normal 2 7 8" xfId="611" xr:uid="{00000000-0005-0000-0000-0000EA020000}"/>
    <cellStyle name="Normal 2 8" xfId="23" xr:uid="{00000000-0005-0000-0000-0000EB020000}"/>
    <cellStyle name="Normal 2 8 2" xfId="57" xr:uid="{00000000-0005-0000-0000-0000EC020000}"/>
    <cellStyle name="Normal 2 8 2 2" xfId="159" xr:uid="{00000000-0005-0000-0000-0000ED020000}"/>
    <cellStyle name="Normal 2 8 2 2 2" xfId="355" xr:uid="{00000000-0005-0000-0000-0000EE020000}"/>
    <cellStyle name="Normal 2 8 2 2 3" xfId="551" xr:uid="{00000000-0005-0000-0000-0000EF020000}"/>
    <cellStyle name="Normal 2 8 2 2 4" xfId="745" xr:uid="{00000000-0005-0000-0000-0000F0020000}"/>
    <cellStyle name="Normal 2 8 2 3" xfId="257" xr:uid="{00000000-0005-0000-0000-0000F1020000}"/>
    <cellStyle name="Normal 2 8 2 4" xfId="453" xr:uid="{00000000-0005-0000-0000-0000F2020000}"/>
    <cellStyle name="Normal 2 8 2 5" xfId="648" xr:uid="{00000000-0005-0000-0000-0000F3020000}"/>
    <cellStyle name="Normal 2 8 3" xfId="89" xr:uid="{00000000-0005-0000-0000-0000F4020000}"/>
    <cellStyle name="Normal 2 8 3 2" xfId="191" xr:uid="{00000000-0005-0000-0000-0000F5020000}"/>
    <cellStyle name="Normal 2 8 3 2 2" xfId="387" xr:uid="{00000000-0005-0000-0000-0000F6020000}"/>
    <cellStyle name="Normal 2 8 3 2 3" xfId="583" xr:uid="{00000000-0005-0000-0000-0000F7020000}"/>
    <cellStyle name="Normal 2 8 3 2 4" xfId="777" xr:uid="{00000000-0005-0000-0000-0000F8020000}"/>
    <cellStyle name="Normal 2 8 3 3" xfId="289" xr:uid="{00000000-0005-0000-0000-0000F9020000}"/>
    <cellStyle name="Normal 2 8 3 4" xfId="485" xr:uid="{00000000-0005-0000-0000-0000FA020000}"/>
    <cellStyle name="Normal 2 8 3 5" xfId="680" xr:uid="{00000000-0005-0000-0000-0000FB020000}"/>
    <cellStyle name="Normal 2 8 4" xfId="126" xr:uid="{00000000-0005-0000-0000-0000FC020000}"/>
    <cellStyle name="Normal 2 8 4 2" xfId="322" xr:uid="{00000000-0005-0000-0000-0000FD020000}"/>
    <cellStyle name="Normal 2 8 4 3" xfId="518" xr:uid="{00000000-0005-0000-0000-0000FE020000}"/>
    <cellStyle name="Normal 2 8 4 4" xfId="712" xr:uid="{00000000-0005-0000-0000-0000FF020000}"/>
    <cellStyle name="Normal 2 8 5" xfId="224" xr:uid="{00000000-0005-0000-0000-000000030000}"/>
    <cellStyle name="Normal 2 8 6" xfId="420" xr:uid="{00000000-0005-0000-0000-000001030000}"/>
    <cellStyle name="Normal 2 8 7" xfId="615" xr:uid="{00000000-0005-0000-0000-000002030000}"/>
    <cellStyle name="Normal 2 9" xfId="41" xr:uid="{00000000-0005-0000-0000-000003030000}"/>
    <cellStyle name="Normal 2 9 2" xfId="143" xr:uid="{00000000-0005-0000-0000-000004030000}"/>
    <cellStyle name="Normal 2 9 2 2" xfId="339" xr:uid="{00000000-0005-0000-0000-000005030000}"/>
    <cellStyle name="Normal 2 9 2 3" xfId="535" xr:uid="{00000000-0005-0000-0000-000006030000}"/>
    <cellStyle name="Normal 2 9 2 4" xfId="729" xr:uid="{00000000-0005-0000-0000-000007030000}"/>
    <cellStyle name="Normal 2 9 3" xfId="241" xr:uid="{00000000-0005-0000-0000-000008030000}"/>
    <cellStyle name="Normal 2 9 4" xfId="437" xr:uid="{00000000-0005-0000-0000-000009030000}"/>
    <cellStyle name="Normal 2 9 5" xfId="632" xr:uid="{00000000-0005-0000-0000-00000A030000}"/>
    <cellStyle name="Normal 3" xfId="4" xr:uid="{00000000-0005-0000-0000-00000B030000}"/>
    <cellStyle name="Normal 4" xfId="40" xr:uid="{00000000-0005-0000-0000-00000C030000}"/>
    <cellStyle name="Normal 4 2" xfId="142" xr:uid="{00000000-0005-0000-0000-00000D030000}"/>
    <cellStyle name="Normal 4 2 2" xfId="338" xr:uid="{00000000-0005-0000-0000-00000E030000}"/>
    <cellStyle name="Normal 4 2 3" xfId="534" xr:uid="{00000000-0005-0000-0000-00000F030000}"/>
    <cellStyle name="Normal 4 2 4" xfId="728" xr:uid="{00000000-0005-0000-0000-000010030000}"/>
    <cellStyle name="Normal 4 3" xfId="240" xr:uid="{00000000-0005-0000-0000-000011030000}"/>
    <cellStyle name="Normal 4 4" xfId="436" xr:uid="{00000000-0005-0000-0000-000012030000}"/>
    <cellStyle name="Normal 4 5" xfId="631" xr:uid="{00000000-0005-0000-0000-000013030000}"/>
    <cellStyle name="Normal 5" xfId="105" xr:uid="{00000000-0005-0000-0000-000014030000}"/>
    <cellStyle name="Normal 5 2" xfId="207" xr:uid="{00000000-0005-0000-0000-000015030000}"/>
    <cellStyle name="Normal 5 2 2" xfId="403" xr:uid="{00000000-0005-0000-0000-000016030000}"/>
    <cellStyle name="Normal 5 3" xfId="501" xr:uid="{00000000-0005-0000-0000-000017030000}"/>
    <cellStyle name="Normal 6" xfId="107" xr:uid="{00000000-0005-0000-0000-000018030000}"/>
    <cellStyle name="Normal 7" xfId="793" xr:uid="{00000000-0005-0000-0000-000019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54</xdr:col>
      <xdr:colOff>0</xdr:colOff>
      <xdr:row>34</xdr:row>
      <xdr:rowOff>9525</xdr:rowOff>
    </xdr:from>
    <xdr:to>
      <xdr:col>54</xdr:col>
      <xdr:colOff>0</xdr:colOff>
      <xdr:row>41</xdr:row>
      <xdr:rowOff>133350</xdr:rowOff>
    </xdr:to>
    <xdr:pic>
      <xdr:nvPicPr>
        <xdr:cNvPr id="2233" name="Picture 1">
          <a:extLst>
            <a:ext uri="{FF2B5EF4-FFF2-40B4-BE49-F238E27FC236}">
              <a16:creationId xmlns:a16="http://schemas.microsoft.com/office/drawing/2014/main" id="{00000000-0008-0000-0700-0000B908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14516100" y="5753100"/>
          <a:ext cx="0" cy="1257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3"/>
  <sheetViews>
    <sheetView tabSelected="1" topLeftCell="A41" zoomScale="80" zoomScaleNormal="80" zoomScalePageLayoutView="125" workbookViewId="0">
      <selection activeCell="B52" sqref="B52"/>
    </sheetView>
  </sheetViews>
  <sheetFormatPr defaultColWidth="8.81640625" defaultRowHeight="12.5" x14ac:dyDescent="0.25"/>
  <cols>
    <col min="1" max="1" width="5.54296875" customWidth="1"/>
    <col min="2" max="2" width="46.54296875" customWidth="1"/>
    <col min="3" max="3" width="14.81640625" customWidth="1"/>
    <col min="4" max="4" width="11.81640625" style="3" customWidth="1"/>
    <col min="5" max="5" width="13.6328125" customWidth="1"/>
    <col min="6" max="6" width="12.81640625" customWidth="1"/>
    <col min="7" max="7" width="12.453125" customWidth="1"/>
    <col min="8" max="8" width="14.81640625" customWidth="1"/>
    <col min="9" max="9" width="11.453125" customWidth="1"/>
    <col min="10" max="10" width="15.1796875" customWidth="1"/>
    <col min="11" max="11" width="15.453125" style="116" customWidth="1"/>
    <col min="12" max="12" width="15.453125" style="3" customWidth="1"/>
    <col min="13" max="13" width="9.1796875" customWidth="1"/>
    <col min="14" max="14" width="12.453125" customWidth="1"/>
    <col min="15" max="15" width="11.1796875" customWidth="1"/>
    <col min="16" max="16" width="12.453125" customWidth="1"/>
    <col min="17" max="17" width="15.453125" customWidth="1"/>
  </cols>
  <sheetData>
    <row r="1" spans="1:20" ht="36" x14ac:dyDescent="0.4">
      <c r="B1" s="301" t="s">
        <v>219</v>
      </c>
      <c r="C1" s="240"/>
      <c r="D1" s="241"/>
      <c r="E1" s="240"/>
      <c r="F1" s="240"/>
      <c r="G1" s="242" t="s">
        <v>137</v>
      </c>
      <c r="H1" s="243"/>
      <c r="I1" s="240"/>
      <c r="J1" s="240"/>
      <c r="K1" s="244"/>
      <c r="L1" s="245" t="s">
        <v>82</v>
      </c>
      <c r="M1" s="240"/>
      <c r="N1" s="493" t="s">
        <v>309</v>
      </c>
      <c r="O1" s="240"/>
      <c r="P1" s="240"/>
      <c r="Q1" s="246"/>
    </row>
    <row r="2" spans="1:20" ht="13" x14ac:dyDescent="0.3">
      <c r="B2" s="6"/>
      <c r="C2" s="245" t="s">
        <v>20</v>
      </c>
      <c r="D2" s="245" t="s">
        <v>5</v>
      </c>
      <c r="E2" s="240"/>
      <c r="F2" s="245" t="s">
        <v>44</v>
      </c>
      <c r="G2" s="245" t="s">
        <v>37</v>
      </c>
      <c r="H2" s="243"/>
      <c r="I2" s="240"/>
      <c r="J2" s="491" t="s">
        <v>307</v>
      </c>
      <c r="K2" s="247" t="s">
        <v>81</v>
      </c>
      <c r="L2" s="245" t="s">
        <v>73</v>
      </c>
      <c r="M2" s="245" t="s">
        <v>39</v>
      </c>
      <c r="N2" s="245" t="s">
        <v>42</v>
      </c>
      <c r="O2" s="242" t="s">
        <v>60</v>
      </c>
      <c r="P2" s="242" t="s">
        <v>79</v>
      </c>
      <c r="Q2" s="248"/>
    </row>
    <row r="3" spans="1:20" ht="13" x14ac:dyDescent="0.3">
      <c r="B3" s="6"/>
      <c r="C3" s="245" t="s">
        <v>6</v>
      </c>
      <c r="D3" s="245" t="s">
        <v>43</v>
      </c>
      <c r="E3" s="245" t="s">
        <v>62</v>
      </c>
      <c r="F3" s="245" t="s">
        <v>3</v>
      </c>
      <c r="G3" s="249" t="s">
        <v>38</v>
      </c>
      <c r="H3" s="245" t="s">
        <v>4</v>
      </c>
      <c r="I3" s="245" t="s">
        <v>33</v>
      </c>
      <c r="J3" s="250" t="s">
        <v>34</v>
      </c>
      <c r="K3" s="247" t="s">
        <v>72</v>
      </c>
      <c r="L3" s="245" t="s">
        <v>2</v>
      </c>
      <c r="M3" s="245" t="s">
        <v>40</v>
      </c>
      <c r="N3" s="245" t="s">
        <v>3</v>
      </c>
      <c r="O3" s="245" t="s">
        <v>59</v>
      </c>
      <c r="P3" s="245" t="s">
        <v>80</v>
      </c>
      <c r="Q3" s="251" t="s">
        <v>162</v>
      </c>
      <c r="T3" s="5"/>
    </row>
    <row r="4" spans="1:20" ht="14" x14ac:dyDescent="0.3">
      <c r="A4">
        <v>11</v>
      </c>
      <c r="B4" t="s">
        <v>168</v>
      </c>
      <c r="C4" s="252">
        <f>Paper!C58</f>
        <v>29</v>
      </c>
      <c r="D4" s="252">
        <f>Static!C5</f>
        <v>50</v>
      </c>
      <c r="E4" s="272">
        <f>MSRP!M7</f>
        <v>30.142690528710151</v>
      </c>
      <c r="F4" s="252">
        <f>'Subjective Handling '!S4</f>
        <v>0</v>
      </c>
      <c r="G4" s="266">
        <f>'Fuel Economy-Endurance  '!F10</f>
        <v>0</v>
      </c>
      <c r="H4" s="252">
        <f>Oral!BD4</f>
        <v>39.371794871794869</v>
      </c>
      <c r="I4" s="252">
        <f>Noise!J5</f>
        <v>0</v>
      </c>
      <c r="J4" s="272">
        <f>Acceleration!F5</f>
        <v>0</v>
      </c>
      <c r="K4" s="252">
        <f>'Lab Emissions'!Q4</f>
        <v>0</v>
      </c>
      <c r="L4" s="252">
        <f>'In Service Emissions'!K6</f>
        <v>0</v>
      </c>
      <c r="M4" s="252">
        <f>'Cold Start'!D4</f>
        <v>0</v>
      </c>
      <c r="N4" s="273">
        <f>'Objective Handling'!J6</f>
        <v>0</v>
      </c>
      <c r="O4" s="252">
        <f>'Penalties and Bonuses'!L4</f>
        <v>0</v>
      </c>
      <c r="P4" s="253">
        <f>0</f>
        <v>0</v>
      </c>
      <c r="Q4" s="254">
        <f>SUM(C4:P4)</f>
        <v>148.51448540050501</v>
      </c>
      <c r="T4" s="45"/>
    </row>
    <row r="5" spans="1:20" ht="14" x14ac:dyDescent="0.3">
      <c r="A5">
        <v>12</v>
      </c>
      <c r="B5" t="s">
        <v>171</v>
      </c>
      <c r="C5" s="252">
        <f>Paper!D58</f>
        <v>66.900000000000006</v>
      </c>
      <c r="D5" s="252">
        <f>Static!C6</f>
        <v>50</v>
      </c>
      <c r="E5" s="272">
        <f>MSRP!M8</f>
        <v>25.615613918800946</v>
      </c>
      <c r="F5" s="252">
        <f>'Subjective Handling '!S5</f>
        <v>0</v>
      </c>
      <c r="G5" s="266">
        <f>'Fuel Economy-Endurance  '!F11</f>
        <v>5</v>
      </c>
      <c r="H5" s="252">
        <f>Oral!BD5</f>
        <v>61.560975609756099</v>
      </c>
      <c r="I5" s="252">
        <f>Noise!J6</f>
        <v>0</v>
      </c>
      <c r="J5" s="272">
        <f>Acceleration!F6</f>
        <v>0</v>
      </c>
      <c r="K5" s="252">
        <f>'Lab Emissions'!Q5</f>
        <v>0</v>
      </c>
      <c r="L5" s="252">
        <f>'In Service Emissions'!K7</f>
        <v>0</v>
      </c>
      <c r="M5" s="252">
        <f>'Cold Start'!D5</f>
        <v>0</v>
      </c>
      <c r="N5" s="273">
        <f>'Objective Handling'!J7</f>
        <v>0</v>
      </c>
      <c r="O5" s="252">
        <f>'Penalties and Bonuses'!L5</f>
        <v>0</v>
      </c>
      <c r="P5" s="253">
        <f>0</f>
        <v>0</v>
      </c>
      <c r="Q5" s="254">
        <f t="shared" ref="Q5:Q15" si="0">SUM(C5:P5)</f>
        <v>209.07658952855707</v>
      </c>
      <c r="T5" s="45"/>
    </row>
    <row r="6" spans="1:20" ht="14" x14ac:dyDescent="0.3">
      <c r="A6">
        <v>13</v>
      </c>
      <c r="B6" t="s">
        <v>173</v>
      </c>
      <c r="C6" s="252">
        <f>Paper!E58</f>
        <v>47.727272727272727</v>
      </c>
      <c r="D6" s="252">
        <f>Static!C7</f>
        <v>50</v>
      </c>
      <c r="E6" s="272">
        <f>MSRP!M9</f>
        <v>36.775271321479579</v>
      </c>
      <c r="F6" s="252">
        <f>'Subjective Handling '!S6</f>
        <v>12.125</v>
      </c>
      <c r="G6" s="266">
        <f>'Fuel Economy-Endurance  '!F12</f>
        <v>0</v>
      </c>
      <c r="H6" s="252">
        <f>Oral!BD6</f>
        <v>37.841463414634148</v>
      </c>
      <c r="I6" s="252">
        <f>Noise!J7</f>
        <v>75.2</v>
      </c>
      <c r="J6" s="272">
        <f>Acceleration!F7</f>
        <v>0</v>
      </c>
      <c r="K6" s="252">
        <f>'Lab Emissions'!Q6</f>
        <v>46.75</v>
      </c>
      <c r="L6" s="252">
        <f>'In Service Emissions'!K8</f>
        <v>0</v>
      </c>
      <c r="M6" s="252">
        <f>'Cold Start'!D6</f>
        <v>50</v>
      </c>
      <c r="N6" s="273">
        <f>'Objective Handling'!J8</f>
        <v>0</v>
      </c>
      <c r="O6" s="252">
        <f>'Penalties and Bonuses'!L6</f>
        <v>0</v>
      </c>
      <c r="P6" s="253">
        <f>0</f>
        <v>0</v>
      </c>
      <c r="Q6" s="254">
        <f t="shared" si="0"/>
        <v>356.41900746338644</v>
      </c>
      <c r="T6" s="45"/>
    </row>
    <row r="7" spans="1:20" s="102" customFormat="1" ht="14" x14ac:dyDescent="0.3">
      <c r="A7">
        <v>14</v>
      </c>
      <c r="B7" t="s">
        <v>198</v>
      </c>
      <c r="C7" s="252">
        <f>Paper!F58</f>
        <v>71.8</v>
      </c>
      <c r="D7" s="252">
        <f>Static!C8</f>
        <v>50</v>
      </c>
      <c r="E7" s="272">
        <f>MSRP!M10</f>
        <v>36.542621226883789</v>
      </c>
      <c r="F7" s="252">
        <f>'Subjective Handling '!S7</f>
        <v>32.777777777777779</v>
      </c>
      <c r="G7" s="266">
        <f>'Fuel Economy-Endurance  '!F13</f>
        <v>177.90335194915355</v>
      </c>
      <c r="H7" s="252">
        <f>Oral!BD7</f>
        <v>72.174999999999997</v>
      </c>
      <c r="I7" s="252">
        <f>Noise!J8</f>
        <v>300</v>
      </c>
      <c r="J7" s="272">
        <f>Acceleration!F8</f>
        <v>0</v>
      </c>
      <c r="K7" s="252">
        <f>'Lab Emissions'!Q7</f>
        <v>283.87</v>
      </c>
      <c r="L7" s="252">
        <f>'In Service Emissions'!K9</f>
        <v>44.211713728053823</v>
      </c>
      <c r="M7" s="252">
        <f>'Cold Start'!D7</f>
        <v>0</v>
      </c>
      <c r="N7" s="273">
        <f>'Objective Handling'!J9</f>
        <v>0</v>
      </c>
      <c r="O7" s="252">
        <f>'Penalties and Bonuses'!L7</f>
        <v>100</v>
      </c>
      <c r="P7" s="253">
        <f>0</f>
        <v>0</v>
      </c>
      <c r="Q7" s="254">
        <f t="shared" si="0"/>
        <v>1169.280464681869</v>
      </c>
      <c r="T7" s="133"/>
    </row>
    <row r="8" spans="1:20" s="102" customFormat="1" ht="14" x14ac:dyDescent="0.3">
      <c r="A8">
        <v>15</v>
      </c>
      <c r="B8" t="s">
        <v>164</v>
      </c>
      <c r="C8" s="252">
        <f>Paper!G58</f>
        <v>49.166666666666664</v>
      </c>
      <c r="D8" s="252">
        <f>Static!C9</f>
        <v>50</v>
      </c>
      <c r="E8" s="272">
        <f>MSRP!M11</f>
        <v>34.649255488306217</v>
      </c>
      <c r="F8" s="252">
        <f>'Subjective Handling '!S8</f>
        <v>32.545454545454547</v>
      </c>
      <c r="G8" s="266">
        <f>'Fuel Economy-Endurance  '!F14</f>
        <v>151.56987482043917</v>
      </c>
      <c r="H8" s="252">
        <f>Oral!BD8</f>
        <v>57.69736842105263</v>
      </c>
      <c r="I8" s="252">
        <f>Noise!J9</f>
        <v>119.23669724770646</v>
      </c>
      <c r="J8" s="272">
        <f>Acceleration!F9</f>
        <v>0</v>
      </c>
      <c r="K8" s="252">
        <f>'Lab Emissions'!Q8</f>
        <v>308.09999999999997</v>
      </c>
      <c r="L8" s="252">
        <f>'In Service Emissions'!K10</f>
        <v>70.554585151624821</v>
      </c>
      <c r="M8" s="252">
        <f>'Cold Start'!D8</f>
        <v>0</v>
      </c>
      <c r="N8" s="273">
        <f>'Objective Handling'!J10</f>
        <v>0</v>
      </c>
      <c r="O8" s="252">
        <f>'Penalties and Bonuses'!L8</f>
        <v>100</v>
      </c>
      <c r="P8" s="253">
        <f>0</f>
        <v>0</v>
      </c>
      <c r="Q8" s="254">
        <f t="shared" si="0"/>
        <v>973.51990234125037</v>
      </c>
      <c r="T8" s="133"/>
    </row>
    <row r="9" spans="1:20" s="25" customFormat="1" ht="14" x14ac:dyDescent="0.3">
      <c r="A9">
        <v>16</v>
      </c>
      <c r="B9" t="s">
        <v>208</v>
      </c>
      <c r="C9" s="252">
        <f>Paper!H58</f>
        <v>21.75</v>
      </c>
      <c r="D9" s="252">
        <f>Static!C10</f>
        <v>50</v>
      </c>
      <c r="E9" s="272">
        <f>MSRP!M12</f>
        <v>18</v>
      </c>
      <c r="F9" s="252">
        <f>'Subjective Handling '!S9</f>
        <v>0</v>
      </c>
      <c r="G9" s="266">
        <f>'Fuel Economy-Endurance  '!F15</f>
        <v>0</v>
      </c>
      <c r="H9" s="252">
        <f>Oral!BD9</f>
        <v>42.769230769230766</v>
      </c>
      <c r="I9" s="252">
        <f>Noise!J10</f>
        <v>0</v>
      </c>
      <c r="J9" s="272">
        <f>Acceleration!F10</f>
        <v>0</v>
      </c>
      <c r="K9" s="252">
        <f>'Lab Emissions'!Q9</f>
        <v>0</v>
      </c>
      <c r="L9" s="252">
        <f>'In Service Emissions'!K11</f>
        <v>0</v>
      </c>
      <c r="M9" s="252">
        <f>'Cold Start'!D9</f>
        <v>0</v>
      </c>
      <c r="N9" s="273">
        <f>'Objective Handling'!J11</f>
        <v>0</v>
      </c>
      <c r="O9" s="252">
        <f>'Penalties and Bonuses'!L9</f>
        <v>-40</v>
      </c>
      <c r="P9" s="253">
        <f>0</f>
        <v>0</v>
      </c>
      <c r="Q9" s="254">
        <f t="shared" si="0"/>
        <v>92.519230769230774</v>
      </c>
      <c r="T9" s="151"/>
    </row>
    <row r="10" spans="1:20" ht="14" x14ac:dyDescent="0.3">
      <c r="A10">
        <v>17</v>
      </c>
      <c r="B10" t="s">
        <v>167</v>
      </c>
      <c r="C10" s="252">
        <f>Paper!I58</f>
        <v>79.181818181818187</v>
      </c>
      <c r="D10" s="252">
        <f>Static!C11</f>
        <v>50</v>
      </c>
      <c r="E10" s="272">
        <f>MSRP!M13</f>
        <v>33.771506807636719</v>
      </c>
      <c r="F10" s="252">
        <f>'Subjective Handling '!S10</f>
        <v>45.071428571428569</v>
      </c>
      <c r="G10" s="266">
        <f>'Fuel Economy-Endurance  '!F16</f>
        <v>200</v>
      </c>
      <c r="H10" s="252">
        <f>Oral!BD10</f>
        <v>72.071428571428569</v>
      </c>
      <c r="I10" s="252">
        <f>Noise!J11</f>
        <v>226.4394495412844</v>
      </c>
      <c r="J10" s="272">
        <f>Acceleration!F11</f>
        <v>0</v>
      </c>
      <c r="K10" s="252">
        <f>'Lab Emissions'!Q10</f>
        <v>70</v>
      </c>
      <c r="L10" s="252">
        <f>'In Service Emissions'!K12</f>
        <v>86.88660377832241</v>
      </c>
      <c r="M10" s="252">
        <f>'Cold Start'!D10</f>
        <v>50</v>
      </c>
      <c r="N10" s="273">
        <f>'Objective Handling'!J12</f>
        <v>0</v>
      </c>
      <c r="O10" s="252">
        <f>'Penalties and Bonuses'!L10</f>
        <v>0</v>
      </c>
      <c r="P10" s="253">
        <f>0</f>
        <v>0</v>
      </c>
      <c r="Q10" s="254">
        <f t="shared" si="0"/>
        <v>913.42223545191882</v>
      </c>
      <c r="T10" s="45"/>
    </row>
    <row r="11" spans="1:20" ht="14" x14ac:dyDescent="0.3">
      <c r="A11">
        <v>18</v>
      </c>
      <c r="B11" t="s">
        <v>209</v>
      </c>
      <c r="C11" s="252">
        <f>Paper!J58</f>
        <v>55.333333333333336</v>
      </c>
      <c r="D11" s="252">
        <f>Static!C12</f>
        <v>50</v>
      </c>
      <c r="E11" s="272">
        <f>MSRP!M14</f>
        <v>40.533801543233352</v>
      </c>
      <c r="F11" s="252">
        <f>'Subjective Handling '!S11</f>
        <v>0</v>
      </c>
      <c r="G11" s="266">
        <f>'Fuel Economy-Endurance  '!F17</f>
        <v>0</v>
      </c>
      <c r="H11" s="252">
        <f>Oral!BD11</f>
        <v>60.4375</v>
      </c>
      <c r="I11" s="252">
        <f>Noise!J12</f>
        <v>0</v>
      </c>
      <c r="J11" s="272">
        <f>Acceleration!F12</f>
        <v>0</v>
      </c>
      <c r="K11" s="252">
        <f>'Lab Emissions'!Q11</f>
        <v>0</v>
      </c>
      <c r="L11" s="252">
        <f>'In Service Emissions'!K13</f>
        <v>0</v>
      </c>
      <c r="M11" s="252">
        <f>'Cold Start'!D11</f>
        <v>0</v>
      </c>
      <c r="N11" s="273">
        <f>'Objective Handling'!J13</f>
        <v>0</v>
      </c>
      <c r="O11" s="252">
        <f>'Penalties and Bonuses'!L11</f>
        <v>0</v>
      </c>
      <c r="P11" s="253">
        <f>0</f>
        <v>0</v>
      </c>
      <c r="Q11" s="254">
        <f t="shared" si="0"/>
        <v>206.30463487656669</v>
      </c>
      <c r="T11" s="45"/>
    </row>
    <row r="12" spans="1:20" s="25" customFormat="1" ht="14" x14ac:dyDescent="0.3">
      <c r="A12">
        <v>19</v>
      </c>
      <c r="B12" t="s">
        <v>170</v>
      </c>
      <c r="C12" s="252">
        <f>Paper!K58</f>
        <v>42.285714285714285</v>
      </c>
      <c r="D12" s="252">
        <f>Static!C13</f>
        <v>50</v>
      </c>
      <c r="E12" s="272">
        <f>MSRP!M15</f>
        <v>35.589204369154167</v>
      </c>
      <c r="F12" s="252">
        <f>'Subjective Handling '!S12</f>
        <v>34.136363636363633</v>
      </c>
      <c r="G12" s="266">
        <f>'Fuel Economy-Endurance  '!F18</f>
        <v>100</v>
      </c>
      <c r="H12" s="252">
        <f>Oral!BD12</f>
        <v>58.573735294117647</v>
      </c>
      <c r="I12" s="252">
        <f>Noise!J13</f>
        <v>225.33394495412838</v>
      </c>
      <c r="J12" s="272">
        <f>Acceleration!F13</f>
        <v>0</v>
      </c>
      <c r="K12" s="252">
        <f>'Lab Emissions'!Q12</f>
        <v>38.54</v>
      </c>
      <c r="L12" s="252">
        <f>'In Service Emissions'!K14</f>
        <v>6.0601577909270361</v>
      </c>
      <c r="M12" s="252">
        <f>'Cold Start'!D12</f>
        <v>0</v>
      </c>
      <c r="N12" s="273">
        <f>'Objective Handling'!J14</f>
        <v>0</v>
      </c>
      <c r="O12" s="252">
        <f>'Penalties and Bonuses'!L12</f>
        <v>-50</v>
      </c>
      <c r="P12" s="253">
        <f>0</f>
        <v>0</v>
      </c>
      <c r="Q12" s="254">
        <f t="shared" si="0"/>
        <v>540.51912033040514</v>
      </c>
      <c r="T12" s="151"/>
    </row>
    <row r="13" spans="1:20" ht="14" x14ac:dyDescent="0.3">
      <c r="A13">
        <v>20</v>
      </c>
      <c r="B13" t="s">
        <v>166</v>
      </c>
      <c r="C13" s="252">
        <f>Paper!L58</f>
        <v>81.400000000000006</v>
      </c>
      <c r="D13" s="252">
        <f>Static!C14</f>
        <v>50</v>
      </c>
      <c r="E13" s="272">
        <f>MSRP!M16</f>
        <v>37.040482408322973</v>
      </c>
      <c r="F13" s="252">
        <f>'Subjective Handling '!S13</f>
        <v>0</v>
      </c>
      <c r="G13" s="266">
        <f>'Fuel Economy-Endurance  '!F19</f>
        <v>0</v>
      </c>
      <c r="H13" s="252">
        <f>Oral!BD13</f>
        <v>67.409090909090907</v>
      </c>
      <c r="I13" s="252">
        <f>Noise!J14</f>
        <v>156.25596330275224</v>
      </c>
      <c r="J13" s="272">
        <f>Acceleration!F14</f>
        <v>0</v>
      </c>
      <c r="K13" s="252">
        <f>'Lab Emissions'!Q13</f>
        <v>291.96999999999997</v>
      </c>
      <c r="L13" s="252">
        <f>'In Service Emissions'!K15</f>
        <v>2.5</v>
      </c>
      <c r="M13" s="252">
        <f>'Cold Start'!D13</f>
        <v>50</v>
      </c>
      <c r="N13" s="273">
        <f>'Objective Handling'!J15</f>
        <v>0</v>
      </c>
      <c r="O13" s="252">
        <f>'Penalties and Bonuses'!L13</f>
        <v>-30</v>
      </c>
      <c r="P13" s="253">
        <f>0</f>
        <v>0</v>
      </c>
      <c r="Q13" s="254">
        <f t="shared" si="0"/>
        <v>706.57553662016608</v>
      </c>
    </row>
    <row r="14" spans="1:20" ht="14" x14ac:dyDescent="0.3">
      <c r="A14">
        <v>21</v>
      </c>
      <c r="B14" t="s">
        <v>165</v>
      </c>
      <c r="C14" s="252">
        <f>Paper!M58</f>
        <v>80.2</v>
      </c>
      <c r="D14" s="252">
        <f>Static!C15</f>
        <v>50</v>
      </c>
      <c r="E14" s="272">
        <f>MSRP!M17</f>
        <v>36</v>
      </c>
      <c r="F14" s="252">
        <f>'Subjective Handling '!S14</f>
        <v>0</v>
      </c>
      <c r="G14" s="266">
        <f>'Fuel Economy-Endurance  '!F20</f>
        <v>144.57269375480939</v>
      </c>
      <c r="H14" s="252">
        <f>Oral!BD14</f>
        <v>63.333333333333336</v>
      </c>
      <c r="I14" s="252">
        <f>Noise!J15</f>
        <v>0</v>
      </c>
      <c r="J14" s="272">
        <f>Acceleration!F15</f>
        <v>0</v>
      </c>
      <c r="K14" s="252">
        <f>'Lab Emissions'!Q14</f>
        <v>278.56</v>
      </c>
      <c r="L14" s="252">
        <f>'In Service Emissions'!K16</f>
        <v>2.5</v>
      </c>
      <c r="M14" s="252">
        <f>'Cold Start'!D14</f>
        <v>0</v>
      </c>
      <c r="N14" s="273">
        <f>'Objective Handling'!J16</f>
        <v>0</v>
      </c>
      <c r="O14" s="252">
        <f>'Penalties and Bonuses'!L14</f>
        <v>0</v>
      </c>
      <c r="P14" s="253">
        <f>0</f>
        <v>0</v>
      </c>
      <c r="Q14" s="254">
        <f t="shared" si="0"/>
        <v>655.16602708814276</v>
      </c>
    </row>
    <row r="15" spans="1:20" ht="14" x14ac:dyDescent="0.3">
      <c r="A15">
        <v>22</v>
      </c>
      <c r="B15" t="s">
        <v>172</v>
      </c>
      <c r="C15" s="252">
        <f>Paper!N58</f>
        <v>49.25</v>
      </c>
      <c r="D15" s="252">
        <f>Static!C16</f>
        <v>50</v>
      </c>
      <c r="E15" s="272">
        <f>MSRP!M18</f>
        <v>20.418143556197862</v>
      </c>
      <c r="F15" s="252">
        <f>'Subjective Handling '!S15</f>
        <v>0</v>
      </c>
      <c r="G15" s="266">
        <f>'Fuel Economy-Endurance  '!F21</f>
        <v>0</v>
      </c>
      <c r="H15" s="252">
        <f>Oral!BD15</f>
        <v>47.48</v>
      </c>
      <c r="I15" s="252">
        <f>Noise!J16</f>
        <v>0</v>
      </c>
      <c r="J15" s="272">
        <f>Acceleration!F16</f>
        <v>0</v>
      </c>
      <c r="K15" s="252">
        <f>'Lab Emissions'!Q15</f>
        <v>0</v>
      </c>
      <c r="L15" s="252">
        <f>'In Service Emissions'!K17</f>
        <v>0</v>
      </c>
      <c r="M15" s="252">
        <f>'Cold Start'!D15</f>
        <v>0</v>
      </c>
      <c r="N15" s="273">
        <f>'Objective Handling'!J17</f>
        <v>0</v>
      </c>
      <c r="O15" s="252">
        <f>'Penalties and Bonuses'!L15</f>
        <v>-300</v>
      </c>
      <c r="P15" s="253">
        <f>0</f>
        <v>0</v>
      </c>
      <c r="Q15" s="254">
        <f t="shared" si="0"/>
        <v>-132.85185644380215</v>
      </c>
    </row>
    <row r="16" spans="1:20" ht="14" x14ac:dyDescent="0.3">
      <c r="A16">
        <v>23</v>
      </c>
      <c r="B16" t="s">
        <v>210</v>
      </c>
      <c r="C16" s="252">
        <f>Paper!O58</f>
        <v>44.285714285714285</v>
      </c>
      <c r="D16" s="252">
        <f>Static!C17</f>
        <v>50</v>
      </c>
      <c r="E16" s="272">
        <f>MSRP!M19</f>
        <v>35.266948461897876</v>
      </c>
      <c r="F16" s="252">
        <f>'Subjective Handling '!S16</f>
        <v>39.666666666666664</v>
      </c>
      <c r="G16" s="266">
        <f>'Fuel Economy-Endurance  '!F22</f>
        <v>164.47517310826663</v>
      </c>
      <c r="H16" s="252">
        <f>Oral!BD16</f>
        <v>51.25</v>
      </c>
      <c r="I16" s="252">
        <f>Noise!J17</f>
        <v>238.8247706422018</v>
      </c>
      <c r="J16" s="272">
        <f>Acceleration!F17</f>
        <v>0</v>
      </c>
      <c r="K16" s="252">
        <f>'Lab Emissions'!Q16</f>
        <v>219.68</v>
      </c>
      <c r="L16" s="252">
        <f>'In Service Emissions'!K18</f>
        <v>52.5</v>
      </c>
      <c r="M16" s="252">
        <f>'Cold Start'!D16</f>
        <v>0</v>
      </c>
      <c r="N16" s="273">
        <f>'Objective Handling'!J18</f>
        <v>0</v>
      </c>
      <c r="O16" s="252">
        <f>'Penalties and Bonuses'!L16</f>
        <v>100</v>
      </c>
      <c r="P16" s="253">
        <f>0</f>
        <v>0</v>
      </c>
      <c r="Q16" s="254">
        <f>SUM(C16:P16)</f>
        <v>995.94927316474718</v>
      </c>
    </row>
    <row r="17" spans="1:17" ht="14" x14ac:dyDescent="0.3">
      <c r="A17">
        <v>26</v>
      </c>
      <c r="B17" t="s">
        <v>169</v>
      </c>
      <c r="C17" s="252">
        <f>Paper!P58</f>
        <v>60.25</v>
      </c>
      <c r="D17" s="252">
        <f>Static!C18</f>
        <v>50</v>
      </c>
      <c r="E17" s="272">
        <f>MSRP!M20</f>
        <v>35.010098266126249</v>
      </c>
      <c r="F17" s="252">
        <f>'Subjective Handling '!S17</f>
        <v>0</v>
      </c>
      <c r="G17" s="266">
        <f>'Fuel Economy-Endurance  '!F23</f>
        <v>0</v>
      </c>
      <c r="H17" s="252">
        <f>Oral!BD17</f>
        <v>41.410714285714285</v>
      </c>
      <c r="I17" s="252">
        <f>Noise!J18</f>
        <v>0</v>
      </c>
      <c r="J17" s="272">
        <f>Acceleration!F18</f>
        <v>0</v>
      </c>
      <c r="K17" s="252">
        <f>'Lab Emissions'!Q17</f>
        <v>0</v>
      </c>
      <c r="L17" s="252">
        <f>'In Service Emissions'!K19</f>
        <v>0</v>
      </c>
      <c r="M17" s="252">
        <f>'Cold Start'!D17</f>
        <v>0</v>
      </c>
      <c r="N17" s="273">
        <f>'Objective Handling'!J19</f>
        <v>0</v>
      </c>
      <c r="O17" s="252">
        <f>'Penalties and Bonuses'!L17</f>
        <v>-100</v>
      </c>
      <c r="P17" s="253">
        <f>0</f>
        <v>0</v>
      </c>
      <c r="Q17" s="254">
        <f>SUM(C17:P17)</f>
        <v>86.670812551840527</v>
      </c>
    </row>
    <row r="18" spans="1:17" ht="14" x14ac:dyDescent="0.3">
      <c r="C18" s="205" t="s">
        <v>41</v>
      </c>
      <c r="D18" s="205" t="s">
        <v>41</v>
      </c>
      <c r="E18" s="205" t="s">
        <v>41</v>
      </c>
      <c r="F18" s="205" t="s">
        <v>41</v>
      </c>
      <c r="G18" s="205" t="s">
        <v>41</v>
      </c>
      <c r="H18" s="205" t="s">
        <v>41</v>
      </c>
      <c r="I18" s="205" t="s">
        <v>41</v>
      </c>
      <c r="J18" s="205" t="s">
        <v>41</v>
      </c>
      <c r="K18" s="205" t="s">
        <v>41</v>
      </c>
      <c r="L18" s="205" t="s">
        <v>41</v>
      </c>
      <c r="M18" s="205" t="s">
        <v>41</v>
      </c>
      <c r="N18" s="205" t="s">
        <v>41</v>
      </c>
      <c r="O18" s="206"/>
      <c r="P18" s="205" t="s">
        <v>41</v>
      </c>
      <c r="Q18" s="204"/>
    </row>
    <row r="19" spans="1:17" ht="13" x14ac:dyDescent="0.3">
      <c r="B19" s="209"/>
      <c r="C19" s="211"/>
      <c r="D19" s="210" t="s">
        <v>18</v>
      </c>
      <c r="E19" s="210" t="s">
        <v>21</v>
      </c>
      <c r="F19" s="213" t="s">
        <v>41</v>
      </c>
      <c r="G19" s="210" t="s">
        <v>18</v>
      </c>
      <c r="H19" s="212"/>
      <c r="I19" s="212"/>
      <c r="J19" s="49"/>
      <c r="M19" s="41"/>
      <c r="N19" s="27"/>
      <c r="O19" s="8"/>
      <c r="P19" s="6"/>
    </row>
    <row r="20" spans="1:17" ht="13" x14ac:dyDescent="0.3">
      <c r="B20" s="208"/>
      <c r="C20" s="211"/>
      <c r="D20" s="211" t="s">
        <v>20</v>
      </c>
      <c r="E20" s="207" t="s">
        <v>22</v>
      </c>
      <c r="F20" s="211"/>
      <c r="G20" s="207" t="s">
        <v>148</v>
      </c>
      <c r="H20" s="211" t="s">
        <v>23</v>
      </c>
      <c r="I20" s="211" t="s">
        <v>25</v>
      </c>
      <c r="M20" s="41"/>
      <c r="N20" s="27"/>
      <c r="O20" s="232"/>
      <c r="P20" s="6"/>
    </row>
    <row r="21" spans="1:17" ht="13" x14ac:dyDescent="0.3">
      <c r="B21" s="208"/>
      <c r="C21" s="211"/>
      <c r="D21" s="211" t="s">
        <v>19</v>
      </c>
      <c r="E21" s="207" t="s">
        <v>19</v>
      </c>
      <c r="F21" s="211"/>
      <c r="G21" s="207" t="s">
        <v>19</v>
      </c>
      <c r="H21" s="211" t="s">
        <v>9</v>
      </c>
      <c r="I21" s="211" t="s">
        <v>24</v>
      </c>
      <c r="J21" s="211" t="s">
        <v>101</v>
      </c>
      <c r="M21" s="41"/>
      <c r="N21" s="27"/>
      <c r="O21" s="232"/>
      <c r="P21" s="6"/>
    </row>
    <row r="22" spans="1:17" ht="17.5" x14ac:dyDescent="0.35">
      <c r="A22">
        <v>11</v>
      </c>
      <c r="B22" t="s">
        <v>168</v>
      </c>
      <c r="C22" s="210"/>
      <c r="D22" s="210" t="str">
        <f t="shared" ref="D22:D24" si="1">IF(AND(K4&gt;69,I4&gt;8,J4=0),(C4+H4+D4),"Not Eligible")</f>
        <v>Not Eligible</v>
      </c>
      <c r="E22" s="210">
        <f t="shared" ref="E22:E35" si="2">I4+K4+E4</f>
        <v>30.142690528710151</v>
      </c>
      <c r="F22" s="235"/>
      <c r="G22" s="210">
        <f t="shared" ref="G22:G35" si="3">(F4+G4+J4+M4+N4+E4)</f>
        <v>30.142690528710151</v>
      </c>
      <c r="H22" s="44">
        <f t="shared" ref="H22:H35" si="4">SUM(C4:P4)</f>
        <v>148.51448540050501</v>
      </c>
      <c r="I22" s="207">
        <f>RANK(H22,$H22:$H$35)</f>
        <v>11</v>
      </c>
      <c r="J22" s="233"/>
      <c r="M22" s="41"/>
      <c r="N22" s="27"/>
      <c r="O22" s="17"/>
      <c r="P22" s="6"/>
    </row>
    <row r="23" spans="1:17" ht="17.5" x14ac:dyDescent="0.35">
      <c r="A23">
        <v>12</v>
      </c>
      <c r="B23" t="s">
        <v>171</v>
      </c>
      <c r="C23" s="210"/>
      <c r="D23" s="210" t="str">
        <f t="shared" si="1"/>
        <v>Not Eligible</v>
      </c>
      <c r="E23" s="210">
        <f t="shared" si="2"/>
        <v>25.615613918800946</v>
      </c>
      <c r="F23" s="235"/>
      <c r="G23" s="210">
        <f t="shared" si="3"/>
        <v>30.615613918800946</v>
      </c>
      <c r="H23" s="44">
        <f t="shared" si="4"/>
        <v>209.07658952855707</v>
      </c>
      <c r="I23" s="207">
        <f>RANK(H23,$H22:$H$35)</f>
        <v>9</v>
      </c>
      <c r="J23" s="239"/>
      <c r="M23" s="41"/>
      <c r="N23" s="27"/>
      <c r="O23" s="17"/>
      <c r="P23" s="6"/>
    </row>
    <row r="24" spans="1:17" s="102" customFormat="1" ht="17.5" x14ac:dyDescent="0.35">
      <c r="A24">
        <v>13</v>
      </c>
      <c r="B24" t="s">
        <v>173</v>
      </c>
      <c r="C24" s="210"/>
      <c r="D24" s="210" t="str">
        <f t="shared" si="1"/>
        <v>Not Eligible</v>
      </c>
      <c r="E24" s="210">
        <f t="shared" si="2"/>
        <v>158.72527132147957</v>
      </c>
      <c r="F24" s="235"/>
      <c r="G24" s="210">
        <f t="shared" si="3"/>
        <v>98.900271321479579</v>
      </c>
      <c r="H24" s="44">
        <f t="shared" si="4"/>
        <v>356.41900746338644</v>
      </c>
      <c r="I24" s="207">
        <f>RANK(H24,$H22:$H$35)</f>
        <v>8</v>
      </c>
      <c r="J24" s="239"/>
      <c r="K24" s="138"/>
      <c r="L24" s="129"/>
      <c r="M24" s="139"/>
      <c r="N24" s="136"/>
      <c r="O24" s="140"/>
      <c r="P24" s="132"/>
    </row>
    <row r="25" spans="1:17" ht="17.5" x14ac:dyDescent="0.35">
      <c r="A25">
        <v>14</v>
      </c>
      <c r="B25" t="s">
        <v>198</v>
      </c>
      <c r="C25" s="210"/>
      <c r="D25" s="210">
        <f>IF(AND(K7&gt;69,I7&gt;8,J7=0),(C7+H7+D7),"Not Eligible")</f>
        <v>193.97499999999999</v>
      </c>
      <c r="E25" s="210">
        <f t="shared" si="2"/>
        <v>620.41262122688374</v>
      </c>
      <c r="F25" s="235"/>
      <c r="G25" s="210">
        <f t="shared" si="3"/>
        <v>247.22375095381511</v>
      </c>
      <c r="H25" s="44">
        <f t="shared" si="4"/>
        <v>1169.280464681869</v>
      </c>
      <c r="I25" s="207">
        <f>RANK(H25,$H22:$H$35)</f>
        <v>1</v>
      </c>
      <c r="J25" s="233"/>
      <c r="M25" s="41"/>
      <c r="N25" s="27"/>
      <c r="O25" s="17"/>
      <c r="P25" s="6"/>
    </row>
    <row r="26" spans="1:17" ht="17.5" x14ac:dyDescent="0.35">
      <c r="A26">
        <v>15</v>
      </c>
      <c r="B26" t="s">
        <v>164</v>
      </c>
      <c r="C26" s="210"/>
      <c r="D26" s="210">
        <f t="shared" ref="D26:D35" si="5">IF(AND(K8&gt;69,I8&gt;8,J8=0),(C8+H8+D8),"Not Eligible")</f>
        <v>156.86403508771929</v>
      </c>
      <c r="E26" s="210">
        <f t="shared" si="2"/>
        <v>461.98595273601262</v>
      </c>
      <c r="F26" s="235"/>
      <c r="G26" s="210">
        <f t="shared" si="3"/>
        <v>218.76458485419994</v>
      </c>
      <c r="H26" s="44">
        <f t="shared" si="4"/>
        <v>973.51990234125037</v>
      </c>
      <c r="I26" s="207">
        <f>RANK(H26,$H22:$H$35)</f>
        <v>3</v>
      </c>
      <c r="J26" s="233"/>
      <c r="M26" s="41"/>
      <c r="N26" s="27"/>
      <c r="O26" s="17"/>
      <c r="P26" s="6"/>
    </row>
    <row r="27" spans="1:17" ht="17.5" x14ac:dyDescent="0.35">
      <c r="A27">
        <v>16</v>
      </c>
      <c r="B27" t="s">
        <v>208</v>
      </c>
      <c r="C27" s="210"/>
      <c r="D27" s="210" t="str">
        <f t="shared" si="5"/>
        <v>Not Eligible</v>
      </c>
      <c r="E27" s="210">
        <f t="shared" si="2"/>
        <v>18</v>
      </c>
      <c r="F27" s="235"/>
      <c r="G27" s="210">
        <f t="shared" si="3"/>
        <v>18</v>
      </c>
      <c r="H27" s="44">
        <f t="shared" si="4"/>
        <v>92.519230769230774</v>
      </c>
      <c r="I27" s="207">
        <f>RANK(H27,$H22:$H$35)</f>
        <v>12</v>
      </c>
      <c r="J27" s="233"/>
      <c r="M27" s="41"/>
      <c r="N27" s="27"/>
      <c r="O27" s="17"/>
      <c r="P27" s="6"/>
    </row>
    <row r="28" spans="1:17" ht="17.5" x14ac:dyDescent="0.35">
      <c r="A28">
        <v>17</v>
      </c>
      <c r="B28" t="s">
        <v>167</v>
      </c>
      <c r="C28" s="210"/>
      <c r="D28" s="210">
        <f t="shared" si="5"/>
        <v>201.25324675324674</v>
      </c>
      <c r="E28" s="210">
        <f t="shared" si="2"/>
        <v>330.21095634892112</v>
      </c>
      <c r="F28" s="235"/>
      <c r="G28" s="210">
        <f t="shared" si="3"/>
        <v>328.8429353790653</v>
      </c>
      <c r="H28" s="44">
        <f t="shared" si="4"/>
        <v>913.42223545191882</v>
      </c>
      <c r="I28" s="207">
        <f>RANK(H28,$H22:$H$35)</f>
        <v>4</v>
      </c>
      <c r="J28" s="233"/>
      <c r="M28" s="41"/>
      <c r="N28" s="27"/>
      <c r="O28" s="17"/>
      <c r="P28" s="6"/>
    </row>
    <row r="29" spans="1:17" ht="17.5" x14ac:dyDescent="0.35">
      <c r="A29">
        <v>18</v>
      </c>
      <c r="B29" t="s">
        <v>209</v>
      </c>
      <c r="C29" s="210"/>
      <c r="D29" s="210" t="str">
        <f t="shared" si="5"/>
        <v>Not Eligible</v>
      </c>
      <c r="E29" s="210">
        <f t="shared" si="2"/>
        <v>40.533801543233352</v>
      </c>
      <c r="F29" s="235"/>
      <c r="G29" s="210">
        <f t="shared" si="3"/>
        <v>40.533801543233352</v>
      </c>
      <c r="H29" s="44">
        <f t="shared" si="4"/>
        <v>206.30463487656669</v>
      </c>
      <c r="I29" s="207">
        <f>RANK(H29,$H22:$H$35)</f>
        <v>10</v>
      </c>
      <c r="J29" s="233"/>
      <c r="M29" s="41"/>
      <c r="N29" s="27"/>
      <c r="O29" s="17"/>
      <c r="P29" s="6"/>
    </row>
    <row r="30" spans="1:17" ht="17.5" x14ac:dyDescent="0.35">
      <c r="A30">
        <v>19</v>
      </c>
      <c r="B30" t="s">
        <v>170</v>
      </c>
      <c r="C30" s="210"/>
      <c r="D30" s="210" t="str">
        <f t="shared" si="5"/>
        <v>Not Eligible</v>
      </c>
      <c r="E30" s="210">
        <f t="shared" si="2"/>
        <v>299.46314932328255</v>
      </c>
      <c r="F30" s="235"/>
      <c r="G30" s="210">
        <f t="shared" si="3"/>
        <v>169.7255680055178</v>
      </c>
      <c r="H30" s="44">
        <f t="shared" si="4"/>
        <v>540.51912033040514</v>
      </c>
      <c r="I30" s="207">
        <f>RANK(H30,$H22:$H$35)</f>
        <v>7</v>
      </c>
      <c r="J30" s="233"/>
      <c r="M30" s="41"/>
      <c r="N30" s="27"/>
      <c r="O30" s="17"/>
      <c r="P30" s="6"/>
    </row>
    <row r="31" spans="1:17" ht="17.5" x14ac:dyDescent="0.35">
      <c r="A31">
        <v>20</v>
      </c>
      <c r="B31" t="s">
        <v>166</v>
      </c>
      <c r="C31" s="210"/>
      <c r="D31" s="210">
        <f t="shared" si="5"/>
        <v>198.80909090909091</v>
      </c>
      <c r="E31" s="210">
        <f t="shared" si="2"/>
        <v>485.26644571107522</v>
      </c>
      <c r="F31" s="235"/>
      <c r="G31" s="210">
        <f t="shared" si="3"/>
        <v>87.040482408322973</v>
      </c>
      <c r="H31" s="44">
        <f t="shared" si="4"/>
        <v>706.57553662016608</v>
      </c>
      <c r="I31" s="207">
        <f>RANK(H31,$H22:$H$35)</f>
        <v>5</v>
      </c>
      <c r="J31" s="233"/>
      <c r="M31" s="41"/>
      <c r="N31" s="27"/>
      <c r="O31" s="17"/>
      <c r="P31" s="6"/>
    </row>
    <row r="32" spans="1:17" ht="17.5" x14ac:dyDescent="0.35">
      <c r="A32">
        <v>21</v>
      </c>
      <c r="B32" t="s">
        <v>165</v>
      </c>
      <c r="C32" s="210"/>
      <c r="D32" s="210" t="str">
        <f t="shared" si="5"/>
        <v>Not Eligible</v>
      </c>
      <c r="E32" s="210">
        <f t="shared" si="2"/>
        <v>314.56</v>
      </c>
      <c r="F32" s="235"/>
      <c r="G32" s="210">
        <f t="shared" si="3"/>
        <v>180.57269375480939</v>
      </c>
      <c r="H32" s="44">
        <f t="shared" si="4"/>
        <v>655.16602708814276</v>
      </c>
      <c r="I32" s="207">
        <f>RANK(H32,$H22:$H$35)</f>
        <v>6</v>
      </c>
      <c r="J32" s="233"/>
    </row>
    <row r="33" spans="1:16" ht="17.5" x14ac:dyDescent="0.35">
      <c r="A33">
        <v>22</v>
      </c>
      <c r="B33" t="s">
        <v>172</v>
      </c>
      <c r="C33" s="210"/>
      <c r="D33" s="210" t="str">
        <f t="shared" si="5"/>
        <v>Not Eligible</v>
      </c>
      <c r="E33" s="210">
        <f t="shared" si="2"/>
        <v>20.418143556197862</v>
      </c>
      <c r="F33" s="235"/>
      <c r="G33" s="210">
        <f t="shared" si="3"/>
        <v>20.418143556197862</v>
      </c>
      <c r="H33" s="44">
        <f t="shared" si="4"/>
        <v>-132.85185644380215</v>
      </c>
      <c r="I33" s="207">
        <f>RANK(H33,$H22:$H$35)</f>
        <v>14</v>
      </c>
      <c r="J33" s="233"/>
    </row>
    <row r="34" spans="1:16" ht="17.5" x14ac:dyDescent="0.35">
      <c r="A34">
        <v>23</v>
      </c>
      <c r="B34" t="s">
        <v>210</v>
      </c>
      <c r="C34" s="210"/>
      <c r="D34" s="210">
        <f t="shared" si="5"/>
        <v>145.53571428571428</v>
      </c>
      <c r="E34" s="210">
        <f t="shared" si="2"/>
        <v>493.7717191040997</v>
      </c>
      <c r="F34" s="235"/>
      <c r="G34" s="210">
        <f t="shared" si="3"/>
        <v>239.40878823683116</v>
      </c>
      <c r="H34" s="44">
        <f t="shared" si="4"/>
        <v>995.94927316474718</v>
      </c>
      <c r="I34" s="207">
        <f>RANK(H34,$H22:$H$35)</f>
        <v>2</v>
      </c>
      <c r="J34" s="233"/>
    </row>
    <row r="35" spans="1:16" ht="17.5" x14ac:dyDescent="0.35">
      <c r="A35">
        <v>26</v>
      </c>
      <c r="B35" t="s">
        <v>169</v>
      </c>
      <c r="C35" s="210"/>
      <c r="D35" s="210" t="str">
        <f t="shared" si="5"/>
        <v>Not Eligible</v>
      </c>
      <c r="E35" s="210">
        <f t="shared" si="2"/>
        <v>35.010098266126249</v>
      </c>
      <c r="F35" s="235"/>
      <c r="G35" s="210">
        <f t="shared" si="3"/>
        <v>35.010098266126249</v>
      </c>
      <c r="H35" s="44">
        <f t="shared" si="4"/>
        <v>86.670812551840527</v>
      </c>
      <c r="I35" s="207">
        <f>RANK(H35,$H22:$H$35)</f>
        <v>13</v>
      </c>
      <c r="J35" s="233"/>
    </row>
    <row r="36" spans="1:16" s="49" customFormat="1" ht="13" x14ac:dyDescent="0.3">
      <c r="B36" s="214"/>
      <c r="C36" s="215"/>
      <c r="D36" s="215"/>
      <c r="E36" s="215"/>
      <c r="F36" s="236"/>
      <c r="G36" s="215"/>
      <c r="H36" s="215"/>
      <c r="I36" s="216"/>
      <c r="J36" s="50"/>
      <c r="K36" s="29"/>
      <c r="L36" s="91"/>
      <c r="M36" s="50"/>
      <c r="N36" s="50"/>
      <c r="O36" s="50"/>
      <c r="P36" s="30"/>
    </row>
    <row r="37" spans="1:16" s="49" customFormat="1" ht="13" x14ac:dyDescent="0.3">
      <c r="B37" s="214"/>
      <c r="C37" s="210">
        <f>MAX(C22:C34)</f>
        <v>0</v>
      </c>
      <c r="D37" s="210">
        <f>MAX(D22:D34)</f>
        <v>201.25324675324674</v>
      </c>
      <c r="E37" s="210">
        <f>MAX(E22:E34)</f>
        <v>620.41262122688374</v>
      </c>
      <c r="F37" s="237"/>
      <c r="G37" s="210">
        <f>MAX(G22:G32)</f>
        <v>328.8429353790653</v>
      </c>
      <c r="H37" s="210"/>
      <c r="I37" s="216"/>
      <c r="J37" s="50"/>
      <c r="K37" s="29"/>
      <c r="L37" s="91"/>
      <c r="M37" s="50"/>
      <c r="N37" s="50"/>
      <c r="O37" s="50"/>
      <c r="P37" s="30"/>
    </row>
    <row r="38" spans="1:16" s="49" customFormat="1" ht="14.5" x14ac:dyDescent="0.35">
      <c r="B38" s="189" t="s">
        <v>41</v>
      </c>
      <c r="D38" s="100"/>
      <c r="G38" s="57"/>
      <c r="H38" s="29"/>
      <c r="I38" s="50"/>
      <c r="J38" s="50"/>
      <c r="K38" s="29"/>
      <c r="L38" s="91"/>
      <c r="M38" s="50"/>
      <c r="N38" s="50"/>
      <c r="O38" s="50"/>
      <c r="P38" s="30"/>
    </row>
    <row r="39" spans="1:16" s="49" customFormat="1" ht="62" x14ac:dyDescent="0.35">
      <c r="B39" s="234" t="s">
        <v>194</v>
      </c>
      <c r="C39" s="627" t="s">
        <v>198</v>
      </c>
      <c r="D39" s="627"/>
      <c r="E39" s="627"/>
      <c r="F39" s="627"/>
      <c r="G39" s="57"/>
      <c r="H39" s="29"/>
      <c r="I39" s="50"/>
      <c r="J39" s="30"/>
      <c r="K39" s="117"/>
      <c r="L39" s="91"/>
      <c r="M39" s="30"/>
      <c r="N39" s="30"/>
      <c r="O39" s="30"/>
      <c r="P39" s="30"/>
    </row>
    <row r="40" spans="1:16" s="49" customFormat="1" ht="20.25" customHeight="1" x14ac:dyDescent="0.35">
      <c r="B40" s="221" t="s">
        <v>192</v>
      </c>
      <c r="C40" s="645" t="s">
        <v>210</v>
      </c>
      <c r="D40" s="646"/>
      <c r="E40" s="646"/>
      <c r="F40" s="647"/>
      <c r="G40" s="57"/>
      <c r="H40" s="23"/>
      <c r="I40" s="50"/>
      <c r="J40" s="30"/>
      <c r="K40" s="117"/>
      <c r="L40" s="91"/>
      <c r="M40" s="30"/>
      <c r="N40" s="30"/>
      <c r="O40" s="30"/>
      <c r="P40" s="30"/>
    </row>
    <row r="41" spans="1:16" s="49" customFormat="1" ht="19.5" customHeight="1" x14ac:dyDescent="0.35">
      <c r="B41" s="221" t="s">
        <v>193</v>
      </c>
      <c r="C41" s="648" t="s">
        <v>164</v>
      </c>
      <c r="D41" s="649"/>
      <c r="E41" s="649"/>
      <c r="F41" s="650"/>
      <c r="G41" s="626"/>
      <c r="H41" s="626"/>
      <c r="I41" s="626"/>
      <c r="J41" s="626"/>
      <c r="K41" s="117"/>
      <c r="L41" s="91"/>
      <c r="M41" s="30"/>
      <c r="N41" s="30"/>
      <c r="O41" s="30"/>
      <c r="P41" s="30"/>
    </row>
    <row r="42" spans="1:16" s="255" customFormat="1" ht="31.5" customHeight="1" x14ac:dyDescent="0.35">
      <c r="B42" s="234"/>
      <c r="C42" s="627"/>
      <c r="D42" s="627"/>
      <c r="E42" s="627"/>
      <c r="F42" s="627"/>
      <c r="G42" s="256"/>
      <c r="H42" s="257"/>
      <c r="I42" s="257"/>
      <c r="J42" s="257"/>
      <c r="K42" s="258"/>
      <c r="L42" s="259"/>
      <c r="M42" s="257"/>
      <c r="N42" s="257"/>
      <c r="O42" s="257"/>
      <c r="P42" s="257"/>
    </row>
    <row r="43" spans="1:16" s="49" customFormat="1" ht="14.5" customHeight="1" x14ac:dyDescent="0.35">
      <c r="B43" s="221" t="s">
        <v>196</v>
      </c>
      <c r="C43" s="642" t="s">
        <v>198</v>
      </c>
      <c r="D43" s="642"/>
      <c r="E43" s="642"/>
      <c r="F43" s="642"/>
      <c r="G43" s="57"/>
      <c r="H43" s="30"/>
      <c r="I43" s="30"/>
      <c r="J43" s="30"/>
      <c r="K43" s="117"/>
      <c r="L43" s="91"/>
      <c r="M43" s="30"/>
      <c r="N43" s="30"/>
      <c r="O43" s="30"/>
      <c r="P43" s="30"/>
    </row>
    <row r="44" spans="1:16" ht="14.5" customHeight="1" x14ac:dyDescent="0.35">
      <c r="B44" s="222" t="s">
        <v>77</v>
      </c>
      <c r="C44" s="627" t="s">
        <v>167</v>
      </c>
      <c r="D44" s="627"/>
      <c r="E44" s="627"/>
      <c r="F44" s="627"/>
      <c r="G44" s="57"/>
      <c r="K44" s="225"/>
    </row>
    <row r="45" spans="1:16" s="49" customFormat="1" ht="14.5" customHeight="1" x14ac:dyDescent="0.35">
      <c r="B45" s="221" t="s">
        <v>189</v>
      </c>
      <c r="C45" s="627" t="s">
        <v>167</v>
      </c>
      <c r="D45" s="627"/>
      <c r="E45" s="627"/>
      <c r="F45" s="627"/>
      <c r="G45" s="57"/>
      <c r="H45" s="30"/>
      <c r="I45" s="30"/>
      <c r="J45" s="228"/>
      <c r="K45" s="117"/>
      <c r="L45" s="91"/>
      <c r="M45" s="30"/>
      <c r="N45" s="30"/>
      <c r="O45" s="30"/>
      <c r="P45" s="30"/>
    </row>
    <row r="46" spans="1:16" s="49" customFormat="1" ht="14.5" customHeight="1" x14ac:dyDescent="0.4">
      <c r="B46" s="221" t="s">
        <v>63</v>
      </c>
      <c r="C46" s="643" t="s">
        <v>167</v>
      </c>
      <c r="D46" s="644"/>
      <c r="E46" s="644"/>
      <c r="F46" s="644"/>
      <c r="G46" s="227"/>
      <c r="H46" s="30"/>
      <c r="I46" s="30"/>
      <c r="J46" s="30"/>
      <c r="K46" s="226"/>
      <c r="L46" s="91"/>
      <c r="M46" s="30"/>
      <c r="N46" s="30"/>
      <c r="O46" s="30"/>
      <c r="P46" s="30"/>
    </row>
    <row r="47" spans="1:16" s="49" customFormat="1" ht="31.5" customHeight="1" x14ac:dyDescent="0.25">
      <c r="B47" s="619" t="s">
        <v>314</v>
      </c>
      <c r="C47" s="651" t="s">
        <v>198</v>
      </c>
      <c r="D47" s="652"/>
      <c r="E47" s="652"/>
      <c r="F47" s="653"/>
      <c r="G47" s="57"/>
      <c r="H47" s="30"/>
      <c r="I47" s="30"/>
      <c r="J47" s="465"/>
      <c r="K47" s="466"/>
      <c r="L47" s="467"/>
      <c r="M47" s="465"/>
      <c r="N47" s="465"/>
      <c r="O47" s="465"/>
      <c r="P47" s="30"/>
    </row>
    <row r="48" spans="1:16" ht="14.5" customHeight="1" x14ac:dyDescent="0.35">
      <c r="B48" s="221" t="s">
        <v>64</v>
      </c>
      <c r="C48" s="644" t="s">
        <v>198</v>
      </c>
      <c r="D48" s="644"/>
      <c r="E48" s="644"/>
      <c r="F48" s="644"/>
      <c r="G48" s="57"/>
      <c r="H48" s="30"/>
      <c r="I48" s="30"/>
      <c r="J48" s="39"/>
      <c r="K48" s="468"/>
      <c r="L48" s="53"/>
      <c r="M48" s="39"/>
      <c r="N48" s="39"/>
      <c r="O48" s="39"/>
      <c r="P48" s="6"/>
    </row>
    <row r="49" spans="2:15" ht="18" customHeight="1" x14ac:dyDescent="0.35">
      <c r="B49" s="223"/>
      <c r="C49" s="630"/>
      <c r="D49" s="630"/>
      <c r="E49" s="630"/>
      <c r="F49" s="630"/>
      <c r="G49" s="57"/>
      <c r="H49" s="6"/>
      <c r="I49" s="6"/>
      <c r="J49" s="1"/>
      <c r="K49" s="118"/>
      <c r="L49" s="46"/>
      <c r="M49" s="1"/>
      <c r="N49" s="1"/>
      <c r="O49" s="1"/>
    </row>
    <row r="50" spans="2:15" ht="15.5" x14ac:dyDescent="0.35">
      <c r="B50" s="223"/>
      <c r="C50" s="630"/>
      <c r="D50" s="630"/>
      <c r="E50" s="630"/>
      <c r="F50" s="630"/>
      <c r="G50" s="57"/>
      <c r="J50" s="1"/>
      <c r="K50" s="118"/>
      <c r="L50" s="46"/>
      <c r="M50" s="1"/>
      <c r="N50" s="1"/>
      <c r="O50" s="1"/>
    </row>
    <row r="51" spans="2:15" ht="15.5" x14ac:dyDescent="0.35">
      <c r="B51" s="221" t="s">
        <v>191</v>
      </c>
      <c r="C51" s="628" t="s">
        <v>200</v>
      </c>
      <c r="D51" s="629"/>
      <c r="E51" s="629"/>
      <c r="F51" s="629"/>
      <c r="G51" s="15"/>
      <c r="J51" s="1"/>
      <c r="K51" s="118"/>
      <c r="L51" s="46"/>
      <c r="M51" s="1"/>
      <c r="N51" s="1"/>
      <c r="O51" s="1"/>
    </row>
    <row r="52" spans="2:15" ht="15.5" x14ac:dyDescent="0.35">
      <c r="B52" s="222" t="s">
        <v>329</v>
      </c>
      <c r="C52" s="630" t="s">
        <v>166</v>
      </c>
      <c r="D52" s="630"/>
      <c r="E52" s="630"/>
      <c r="F52" s="630"/>
      <c r="J52" s="618"/>
      <c r="K52" s="118"/>
      <c r="L52" s="46"/>
      <c r="M52" s="1"/>
      <c r="N52" s="1"/>
      <c r="O52" s="1"/>
    </row>
    <row r="53" spans="2:15" ht="64.25" customHeight="1" x14ac:dyDescent="0.35">
      <c r="B53" s="620" t="s">
        <v>207</v>
      </c>
      <c r="C53" s="615" t="s">
        <v>171</v>
      </c>
      <c r="D53" s="616"/>
      <c r="E53" s="616"/>
      <c r="F53" s="617"/>
      <c r="G53" s="57"/>
      <c r="I53" s="260"/>
      <c r="J53" s="631"/>
      <c r="K53" s="632"/>
      <c r="L53" s="632"/>
      <c r="M53" s="463"/>
      <c r="N53" s="463"/>
      <c r="O53" s="469"/>
    </row>
    <row r="54" spans="2:15" ht="31" x14ac:dyDescent="0.35">
      <c r="B54" s="224" t="s">
        <v>163</v>
      </c>
      <c r="C54" s="628" t="s">
        <v>303</v>
      </c>
      <c r="D54" s="629"/>
      <c r="E54" s="629"/>
      <c r="F54" s="629"/>
      <c r="G54" s="197" t="s">
        <v>41</v>
      </c>
      <c r="H54" s="90"/>
      <c r="I54" s="90"/>
      <c r="J54" s="464"/>
      <c r="K54" s="118"/>
      <c r="L54" s="46"/>
      <c r="M54" s="1"/>
      <c r="N54" s="1"/>
      <c r="O54" s="1"/>
    </row>
    <row r="55" spans="2:15" s="90" customFormat="1" ht="15.5" x14ac:dyDescent="0.35">
      <c r="B55" s="222" t="s">
        <v>190</v>
      </c>
      <c r="C55" s="633" t="s">
        <v>167</v>
      </c>
      <c r="D55" s="634"/>
      <c r="E55" s="634"/>
      <c r="F55" s="635"/>
      <c r="G55" s="194"/>
      <c r="J55" s="464"/>
      <c r="K55" s="470"/>
      <c r="L55" s="471"/>
      <c r="M55" s="464"/>
      <c r="N55" s="464"/>
      <c r="O55" s="464"/>
    </row>
    <row r="56" spans="2:15" s="1" customFormat="1" ht="15.5" x14ac:dyDescent="0.35">
      <c r="B56" s="300" t="s">
        <v>315</v>
      </c>
      <c r="C56" s="636" t="s">
        <v>210</v>
      </c>
      <c r="D56" s="637"/>
      <c r="E56" s="637"/>
      <c r="F56" s="638"/>
      <c r="G56" s="57"/>
      <c r="K56" s="118"/>
      <c r="L56" s="46"/>
    </row>
    <row r="57" spans="2:15" s="1" customFormat="1" ht="15.5" x14ac:dyDescent="0.35">
      <c r="B57" s="300" t="s">
        <v>204</v>
      </c>
      <c r="C57" s="627" t="s">
        <v>328</v>
      </c>
      <c r="D57" s="627"/>
      <c r="E57" s="627"/>
      <c r="F57" s="627"/>
      <c r="K57" s="118"/>
      <c r="L57" s="46"/>
    </row>
    <row r="58" spans="2:15" s="1" customFormat="1" ht="15.5" x14ac:dyDescent="0.35">
      <c r="B58" s="300" t="s">
        <v>195</v>
      </c>
      <c r="C58" s="639" t="s">
        <v>316</v>
      </c>
      <c r="D58" s="640"/>
      <c r="E58" s="640"/>
      <c r="F58" s="641"/>
      <c r="G58" s="159"/>
      <c r="H58" s="299"/>
      <c r="I58" s="299"/>
      <c r="J58" s="299"/>
      <c r="K58" s="118"/>
      <c r="L58" s="46"/>
    </row>
    <row r="59" spans="2:15" s="1" customFormat="1" ht="13" x14ac:dyDescent="0.3">
      <c r="B59" s="614"/>
      <c r="C59" s="90"/>
      <c r="D59" s="46"/>
      <c r="K59" s="118"/>
      <c r="L59" s="46"/>
    </row>
    <row r="60" spans="2:15" s="1" customFormat="1" ht="13" x14ac:dyDescent="0.3">
      <c r="B60" s="614"/>
      <c r="C60" s="90"/>
      <c r="D60" s="46"/>
      <c r="K60" s="118"/>
      <c r="L60" s="46"/>
    </row>
    <row r="61" spans="2:15" s="1" customFormat="1" ht="13" x14ac:dyDescent="0.3">
      <c r="B61" s="119"/>
      <c r="C61" s="90"/>
      <c r="D61" s="46"/>
      <c r="K61" s="118"/>
      <c r="L61" s="46"/>
    </row>
    <row r="62" spans="2:15" s="1" customFormat="1" ht="13" x14ac:dyDescent="0.3">
      <c r="B62" s="119"/>
      <c r="C62" s="90"/>
      <c r="D62" s="46"/>
      <c r="K62" s="118"/>
      <c r="L62" s="46"/>
    </row>
    <row r="63" spans="2:15" ht="13" x14ac:dyDescent="0.3">
      <c r="C63" s="90"/>
    </row>
  </sheetData>
  <mergeCells count="21">
    <mergeCell ref="C55:F55"/>
    <mergeCell ref="C56:F56"/>
    <mergeCell ref="C57:F57"/>
    <mergeCell ref="C58:F58"/>
    <mergeCell ref="C39:F39"/>
    <mergeCell ref="C43:F43"/>
    <mergeCell ref="C44:F44"/>
    <mergeCell ref="C45:F45"/>
    <mergeCell ref="C46:F46"/>
    <mergeCell ref="C40:F40"/>
    <mergeCell ref="C41:F41"/>
    <mergeCell ref="C48:F48"/>
    <mergeCell ref="C47:F47"/>
    <mergeCell ref="G41:J41"/>
    <mergeCell ref="C42:F42"/>
    <mergeCell ref="C54:F54"/>
    <mergeCell ref="C49:F49"/>
    <mergeCell ref="C50:F50"/>
    <mergeCell ref="C51:F51"/>
    <mergeCell ref="C52:F52"/>
    <mergeCell ref="J53:L53"/>
  </mergeCells>
  <phoneticPr fontId="31" type="noConversion"/>
  <printOptions gridLines="1"/>
  <pageMargins left="0.75" right="0.75" top="1" bottom="1" header="0.5" footer="0.5"/>
  <pageSetup scale="46" orientation="landscape" horizont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7"/>
  <sheetViews>
    <sheetView zoomScaleNormal="100" zoomScalePageLayoutView="125" workbookViewId="0">
      <pane xSplit="3" ySplit="1" topLeftCell="F2" activePane="bottomRight" state="frozen"/>
      <selection pane="topRight" activeCell="B1" sqref="B1"/>
      <selection pane="bottomLeft" activeCell="A5" sqref="A5"/>
      <selection pane="bottomRight" activeCell="L7" sqref="L7"/>
    </sheetView>
  </sheetViews>
  <sheetFormatPr defaultColWidth="22.1796875" defaultRowHeight="12.5" x14ac:dyDescent="0.25"/>
  <cols>
    <col min="1" max="1" width="35" customWidth="1"/>
    <col min="2" max="2" width="27.81640625" customWidth="1"/>
    <col min="3" max="3" width="19" bestFit="1" customWidth="1"/>
    <col min="4" max="4" width="14.81640625" customWidth="1"/>
    <col min="5" max="5" width="8.81640625" customWidth="1"/>
    <col min="6" max="6" width="12.1796875" bestFit="1" customWidth="1"/>
    <col min="7" max="7" width="8.81640625" bestFit="1" customWidth="1"/>
    <col min="8" max="8" width="16.54296875" bestFit="1" customWidth="1"/>
    <col min="9" max="9" width="11.1796875" customWidth="1"/>
    <col min="10" max="10" width="15.1796875" bestFit="1" customWidth="1"/>
    <col min="11" max="11" width="18.54296875" bestFit="1" customWidth="1"/>
    <col min="12" max="12" width="19.54296875" bestFit="1" customWidth="1"/>
    <col min="13" max="13" width="7.1796875" customWidth="1"/>
    <col min="14" max="14" width="14.54296875" bestFit="1" customWidth="1"/>
    <col min="15" max="15" width="11.1796875" bestFit="1" customWidth="1"/>
    <col min="16" max="16" width="8" bestFit="1" customWidth="1"/>
    <col min="17" max="17" width="9.6328125" customWidth="1"/>
  </cols>
  <sheetData>
    <row r="1" spans="1:17" ht="13" x14ac:dyDescent="0.3">
      <c r="A1" s="661" t="s">
        <v>310</v>
      </c>
      <c r="B1" s="661"/>
      <c r="C1" s="661"/>
    </row>
    <row r="2" spans="1:17" x14ac:dyDescent="0.25">
      <c r="B2" s="159" t="s">
        <v>206</v>
      </c>
    </row>
    <row r="3" spans="1:17" s="98" customFormat="1" ht="37.5" customHeight="1" x14ac:dyDescent="0.35">
      <c r="A3" s="267" t="s">
        <v>178</v>
      </c>
      <c r="B3" s="267" t="s">
        <v>179</v>
      </c>
      <c r="C3" s="267" t="s">
        <v>83</v>
      </c>
      <c r="D3" s="267" t="s">
        <v>180</v>
      </c>
      <c r="E3" s="267" t="s">
        <v>181</v>
      </c>
      <c r="F3" s="267" t="s">
        <v>182</v>
      </c>
      <c r="G3" s="267" t="s">
        <v>183</v>
      </c>
      <c r="H3" s="267" t="s">
        <v>84</v>
      </c>
      <c r="I3" s="267"/>
      <c r="J3" s="267" t="s">
        <v>184</v>
      </c>
      <c r="K3" s="267" t="s">
        <v>85</v>
      </c>
      <c r="L3" s="267" t="s">
        <v>86</v>
      </c>
      <c r="M3" s="267"/>
      <c r="N3" s="267" t="s">
        <v>87</v>
      </c>
      <c r="O3" s="267" t="s">
        <v>93</v>
      </c>
      <c r="P3" s="267" t="s">
        <v>75</v>
      </c>
      <c r="Q3" s="98" t="s">
        <v>55</v>
      </c>
    </row>
    <row r="4" spans="1:17" s="354" customFormat="1" ht="14.5" x14ac:dyDescent="0.35">
      <c r="A4" s="246" t="s">
        <v>168</v>
      </c>
      <c r="B4" s="353"/>
      <c r="C4" s="353"/>
      <c r="D4" s="353"/>
      <c r="E4" s="353"/>
      <c r="F4" s="353"/>
      <c r="G4" s="353"/>
      <c r="H4" s="353"/>
      <c r="I4" s="353"/>
      <c r="J4" s="353"/>
      <c r="K4" s="353"/>
      <c r="L4" s="353"/>
      <c r="M4" s="353"/>
      <c r="N4" s="353"/>
      <c r="O4" s="353"/>
      <c r="P4" s="353"/>
      <c r="Q4" s="492">
        <f>K4+O4</f>
        <v>0</v>
      </c>
    </row>
    <row r="5" spans="1:17" s="354" customFormat="1" ht="14.5" x14ac:dyDescent="0.35">
      <c r="A5" s="246" t="s">
        <v>171</v>
      </c>
      <c r="B5" s="353"/>
      <c r="C5" s="353"/>
      <c r="D5" s="353"/>
      <c r="E5" s="353"/>
      <c r="F5" s="353"/>
      <c r="G5" s="353"/>
      <c r="H5" s="353"/>
      <c r="I5" s="353"/>
      <c r="J5" s="353"/>
      <c r="K5" s="353"/>
      <c r="L5" s="353"/>
      <c r="M5" s="353"/>
      <c r="N5" s="353"/>
      <c r="O5" s="353"/>
      <c r="P5" s="353"/>
      <c r="Q5" s="492">
        <f t="shared" ref="Q5:Q17" si="0">K5+O5</f>
        <v>0</v>
      </c>
    </row>
    <row r="6" spans="1:17" s="354" customFormat="1" ht="14.5" x14ac:dyDescent="0.35">
      <c r="A6" s="246" t="s">
        <v>173</v>
      </c>
      <c r="B6" s="481" t="s">
        <v>291</v>
      </c>
      <c r="C6" s="481" t="s">
        <v>291</v>
      </c>
      <c r="D6" s="481" t="s">
        <v>291</v>
      </c>
      <c r="E6" s="481" t="s">
        <v>291</v>
      </c>
      <c r="F6" s="481" t="s">
        <v>292</v>
      </c>
      <c r="G6" s="481" t="s">
        <v>291</v>
      </c>
      <c r="H6" s="481" t="s">
        <v>291</v>
      </c>
      <c r="I6" s="353"/>
      <c r="J6" s="353">
        <v>173.71</v>
      </c>
      <c r="K6" s="353">
        <v>20</v>
      </c>
      <c r="L6" s="353">
        <v>8</v>
      </c>
      <c r="M6" s="353"/>
      <c r="N6" s="353">
        <v>381.86</v>
      </c>
      <c r="O6" s="353">
        <v>26.75</v>
      </c>
      <c r="P6" s="353">
        <v>7</v>
      </c>
      <c r="Q6" s="492">
        <f t="shared" si="0"/>
        <v>46.75</v>
      </c>
    </row>
    <row r="7" spans="1:17" s="246" customFormat="1" ht="14.5" x14ac:dyDescent="0.35">
      <c r="A7" s="246" t="s">
        <v>198</v>
      </c>
      <c r="B7" s="478" t="s">
        <v>291</v>
      </c>
      <c r="C7" s="478" t="s">
        <v>291</v>
      </c>
      <c r="D7" s="478" t="s">
        <v>291</v>
      </c>
      <c r="E7" s="478" t="s">
        <v>291</v>
      </c>
      <c r="F7" s="478" t="s">
        <v>291</v>
      </c>
      <c r="G7" s="478" t="s">
        <v>291</v>
      </c>
      <c r="H7" s="478" t="s">
        <v>291</v>
      </c>
      <c r="I7" s="353"/>
      <c r="J7" s="478">
        <v>204.65</v>
      </c>
      <c r="K7" s="478">
        <v>280.89</v>
      </c>
      <c r="L7" s="478">
        <v>1</v>
      </c>
      <c r="M7" s="478"/>
      <c r="N7" s="478">
        <v>464.69</v>
      </c>
      <c r="O7" s="478">
        <v>2.98</v>
      </c>
      <c r="P7" s="353">
        <v>11</v>
      </c>
      <c r="Q7" s="492">
        <f t="shared" si="0"/>
        <v>283.87</v>
      </c>
    </row>
    <row r="8" spans="1:17" s="246" customFormat="1" ht="14.5" x14ac:dyDescent="0.35">
      <c r="A8" s="246" t="s">
        <v>164</v>
      </c>
      <c r="B8" s="478" t="s">
        <v>291</v>
      </c>
      <c r="C8" s="478" t="s">
        <v>291</v>
      </c>
      <c r="D8" s="478" t="s">
        <v>291</v>
      </c>
      <c r="E8" s="478" t="s">
        <v>291</v>
      </c>
      <c r="F8" s="478" t="s">
        <v>291</v>
      </c>
      <c r="G8" s="478" t="s">
        <v>291</v>
      </c>
      <c r="H8" s="478" t="s">
        <v>291</v>
      </c>
      <c r="I8" s="353"/>
      <c r="J8" s="478">
        <v>203.13</v>
      </c>
      <c r="K8" s="478">
        <v>275.45999999999998</v>
      </c>
      <c r="L8" s="478">
        <v>2</v>
      </c>
      <c r="M8" s="478"/>
      <c r="N8" s="478">
        <v>361.34</v>
      </c>
      <c r="O8" s="478">
        <v>32.64</v>
      </c>
      <c r="P8" s="353">
        <v>4</v>
      </c>
      <c r="Q8" s="492">
        <f t="shared" si="0"/>
        <v>308.09999999999997</v>
      </c>
    </row>
    <row r="9" spans="1:17" s="246" customFormat="1" ht="14.5" x14ac:dyDescent="0.35">
      <c r="A9" s="246" t="s">
        <v>208</v>
      </c>
      <c r="B9" s="353"/>
      <c r="C9" s="353"/>
      <c r="D9" s="353"/>
      <c r="E9" s="353"/>
      <c r="F9" s="353"/>
      <c r="G9" s="353"/>
      <c r="H9" s="353"/>
      <c r="I9" s="353"/>
      <c r="J9" s="353"/>
      <c r="K9" s="353"/>
      <c r="L9" s="353"/>
      <c r="M9" s="353"/>
      <c r="N9" s="353"/>
      <c r="O9" s="353"/>
      <c r="P9" s="353"/>
      <c r="Q9" s="492">
        <f t="shared" si="0"/>
        <v>0</v>
      </c>
    </row>
    <row r="10" spans="1:17" s="246" customFormat="1" ht="14.5" x14ac:dyDescent="0.35">
      <c r="A10" s="246" t="s">
        <v>167</v>
      </c>
      <c r="B10" s="481" t="s">
        <v>291</v>
      </c>
      <c r="C10" s="481" t="s">
        <v>291</v>
      </c>
      <c r="D10" s="481" t="s">
        <v>291</v>
      </c>
      <c r="E10" s="481" t="s">
        <v>291</v>
      </c>
      <c r="F10" s="481" t="s">
        <v>292</v>
      </c>
      <c r="G10" s="481" t="s">
        <v>291</v>
      </c>
      <c r="H10" s="481" t="s">
        <v>291</v>
      </c>
      <c r="I10" s="353"/>
      <c r="J10" s="353">
        <v>171.19</v>
      </c>
      <c r="K10" s="353">
        <v>20</v>
      </c>
      <c r="L10" s="353">
        <v>7</v>
      </c>
      <c r="M10" s="353"/>
      <c r="N10" s="353">
        <v>300.86</v>
      </c>
      <c r="O10" s="353">
        <v>50</v>
      </c>
      <c r="P10" s="353">
        <v>1</v>
      </c>
      <c r="Q10" s="492">
        <f t="shared" si="0"/>
        <v>70</v>
      </c>
    </row>
    <row r="11" spans="1:17" s="246" customFormat="1" ht="14.5" x14ac:dyDescent="0.35">
      <c r="A11" s="246" t="s">
        <v>209</v>
      </c>
      <c r="B11" s="353"/>
      <c r="C11" s="353"/>
      <c r="D11" s="353"/>
      <c r="E11" s="353"/>
      <c r="F11" s="353"/>
      <c r="G11" s="353"/>
      <c r="H11" s="353"/>
      <c r="I11" s="353"/>
      <c r="J11" s="353"/>
      <c r="K11" s="353"/>
      <c r="L11" s="353"/>
      <c r="M11" s="353"/>
      <c r="N11" s="353"/>
      <c r="O11" s="353"/>
      <c r="P11" s="353"/>
      <c r="Q11" s="492">
        <f t="shared" si="0"/>
        <v>0</v>
      </c>
    </row>
    <row r="12" spans="1:17" s="354" customFormat="1" ht="14.5" x14ac:dyDescent="0.35">
      <c r="A12" s="246" t="s">
        <v>170</v>
      </c>
      <c r="B12" s="478" t="s">
        <v>291</v>
      </c>
      <c r="C12" s="478" t="s">
        <v>291</v>
      </c>
      <c r="D12" s="478" t="s">
        <v>291</v>
      </c>
      <c r="E12" s="478" t="s">
        <v>291</v>
      </c>
      <c r="F12" s="478" t="s">
        <v>292</v>
      </c>
      <c r="G12" s="478" t="s">
        <v>291</v>
      </c>
      <c r="H12" s="478" t="s">
        <v>291</v>
      </c>
      <c r="I12" s="478"/>
      <c r="J12" s="478">
        <v>154.66</v>
      </c>
      <c r="K12" s="478">
        <v>20</v>
      </c>
      <c r="L12" s="478">
        <v>6</v>
      </c>
      <c r="M12" s="478"/>
      <c r="N12" s="478">
        <v>410.48</v>
      </c>
      <c r="O12" s="478">
        <v>18.54</v>
      </c>
      <c r="P12" s="353">
        <v>10</v>
      </c>
      <c r="Q12" s="492">
        <f t="shared" si="0"/>
        <v>38.54</v>
      </c>
    </row>
    <row r="13" spans="1:17" s="246" customFormat="1" ht="14.5" x14ac:dyDescent="0.35">
      <c r="A13" s="246" t="s">
        <v>166</v>
      </c>
      <c r="B13" s="481" t="s">
        <v>291</v>
      </c>
      <c r="C13" s="481" t="s">
        <v>291</v>
      </c>
      <c r="D13" s="481" t="s">
        <v>291</v>
      </c>
      <c r="E13" s="481" t="s">
        <v>291</v>
      </c>
      <c r="F13" s="481" t="s">
        <v>291</v>
      </c>
      <c r="G13" s="481" t="s">
        <v>291</v>
      </c>
      <c r="H13" s="481" t="s">
        <v>291</v>
      </c>
      <c r="I13" s="353"/>
      <c r="J13" s="353">
        <v>194.82</v>
      </c>
      <c r="K13" s="353">
        <v>245.79</v>
      </c>
      <c r="L13" s="353">
        <v>4</v>
      </c>
      <c r="M13" s="353"/>
      <c r="N13" s="353">
        <v>314.17</v>
      </c>
      <c r="O13" s="353">
        <v>46.18</v>
      </c>
      <c r="P13" s="353">
        <v>2</v>
      </c>
      <c r="Q13" s="492">
        <f t="shared" si="0"/>
        <v>291.96999999999997</v>
      </c>
    </row>
    <row r="14" spans="1:17" s="246" customFormat="1" ht="14.5" x14ac:dyDescent="0.35">
      <c r="A14" s="246" t="s">
        <v>165</v>
      </c>
      <c r="B14" s="478" t="s">
        <v>291</v>
      </c>
      <c r="C14" s="478" t="s">
        <v>291</v>
      </c>
      <c r="D14" s="478" t="s">
        <v>291</v>
      </c>
      <c r="E14" s="478" t="s">
        <v>291</v>
      </c>
      <c r="F14" s="478" t="s">
        <v>291</v>
      </c>
      <c r="G14" s="478" t="s">
        <v>291</v>
      </c>
      <c r="H14" s="478" t="s">
        <v>291</v>
      </c>
      <c r="I14" s="478"/>
      <c r="J14" s="478">
        <v>198.3</v>
      </c>
      <c r="K14" s="478">
        <v>258.20999999999998</v>
      </c>
      <c r="L14" s="478">
        <v>3</v>
      </c>
      <c r="M14" s="478"/>
      <c r="N14" s="478">
        <v>404.16</v>
      </c>
      <c r="O14" s="478">
        <v>20.350000000000001</v>
      </c>
      <c r="P14" s="353">
        <v>9</v>
      </c>
      <c r="Q14" s="492">
        <f t="shared" si="0"/>
        <v>278.56</v>
      </c>
    </row>
    <row r="15" spans="1:17" s="246" customFormat="1" ht="14.5" x14ac:dyDescent="0.35">
      <c r="A15" s="246" t="s">
        <v>172</v>
      </c>
      <c r="B15" s="353"/>
      <c r="C15" s="353"/>
      <c r="D15" s="353"/>
      <c r="E15" s="353"/>
      <c r="F15" s="353"/>
      <c r="G15" s="353"/>
      <c r="H15" s="353"/>
      <c r="I15" s="353"/>
      <c r="J15" s="353"/>
      <c r="K15" s="353"/>
      <c r="L15" s="353"/>
      <c r="M15" s="353"/>
      <c r="N15" s="353"/>
      <c r="O15" s="353"/>
      <c r="P15" s="353"/>
      <c r="Q15" s="492">
        <f t="shared" si="0"/>
        <v>0</v>
      </c>
    </row>
    <row r="16" spans="1:17" s="354" customFormat="1" ht="14.5" x14ac:dyDescent="0.35">
      <c r="A16" s="246" t="s">
        <v>210</v>
      </c>
      <c r="B16" s="478" t="s">
        <v>291</v>
      </c>
      <c r="C16" s="478" t="s">
        <v>291</v>
      </c>
      <c r="D16" s="478" t="s">
        <v>291</v>
      </c>
      <c r="E16" s="478" t="s">
        <v>291</v>
      </c>
      <c r="F16" s="478" t="s">
        <v>291</v>
      </c>
      <c r="G16" s="478" t="s">
        <v>291</v>
      </c>
      <c r="H16" s="478" t="s">
        <v>291</v>
      </c>
      <c r="I16" s="478"/>
      <c r="J16" s="478">
        <v>186.81</v>
      </c>
      <c r="K16" s="478">
        <v>217.18</v>
      </c>
      <c r="L16" s="478">
        <v>5</v>
      </c>
      <c r="M16" s="478"/>
      <c r="N16" s="478">
        <v>466.37</v>
      </c>
      <c r="O16" s="478">
        <v>2.5</v>
      </c>
      <c r="P16" s="353">
        <v>12</v>
      </c>
      <c r="Q16" s="492">
        <f t="shared" si="0"/>
        <v>219.68</v>
      </c>
    </row>
    <row r="17" spans="1:17" s="354" customFormat="1" ht="14.5" x14ac:dyDescent="0.35">
      <c r="A17" s="246" t="s">
        <v>169</v>
      </c>
      <c r="B17" s="353"/>
      <c r="C17" s="353"/>
      <c r="D17" s="353"/>
      <c r="E17" s="353"/>
      <c r="F17" s="353"/>
      <c r="G17" s="353"/>
      <c r="H17" s="353"/>
      <c r="I17" s="353"/>
      <c r="J17" s="353"/>
      <c r="K17" s="353"/>
      <c r="L17" s="353"/>
      <c r="M17" s="353"/>
      <c r="N17" s="353"/>
      <c r="O17" s="353"/>
      <c r="P17" s="353"/>
      <c r="Q17" s="492">
        <f t="shared" si="0"/>
        <v>0</v>
      </c>
    </row>
    <row r="19" spans="1:17" ht="14.5" x14ac:dyDescent="0.35">
      <c r="A19" s="267" t="s">
        <v>142</v>
      </c>
      <c r="B19" s="267" t="s">
        <v>201</v>
      </c>
      <c r="C19">
        <f>MIN(J4:J17)</f>
        <v>154.66</v>
      </c>
    </row>
    <row r="20" spans="1:17" ht="14.5" x14ac:dyDescent="0.35">
      <c r="A20" s="267" t="s">
        <v>143</v>
      </c>
      <c r="B20" s="267" t="s">
        <v>201</v>
      </c>
      <c r="C20">
        <f>MAX(J4:J17)</f>
        <v>204.65</v>
      </c>
    </row>
    <row r="21" spans="1:17" x14ac:dyDescent="0.25">
      <c r="I21" s="449"/>
    </row>
    <row r="22" spans="1:17" ht="14.5" x14ac:dyDescent="0.35">
      <c r="A22" s="267" t="s">
        <v>144</v>
      </c>
      <c r="B22" s="267" t="s">
        <v>202</v>
      </c>
      <c r="C22">
        <f>MIN(N4:N17)</f>
        <v>300.86</v>
      </c>
    </row>
    <row r="23" spans="1:17" ht="14.5" x14ac:dyDescent="0.35">
      <c r="A23" s="267" t="s">
        <v>145</v>
      </c>
      <c r="B23" s="267" t="s">
        <v>202</v>
      </c>
      <c r="C23">
        <f>MAX(N4:N17)</f>
        <v>466.37</v>
      </c>
    </row>
    <row r="25" spans="1:17" ht="14.5" x14ac:dyDescent="0.35">
      <c r="A25" s="267" t="s">
        <v>185</v>
      </c>
      <c r="B25" s="267"/>
      <c r="C25" s="267"/>
    </row>
    <row r="26" spans="1:17" ht="14.5" x14ac:dyDescent="0.35">
      <c r="A26" s="267" t="s">
        <v>186</v>
      </c>
      <c r="B26" s="267"/>
      <c r="C26" s="267"/>
    </row>
    <row r="27" spans="1:17" ht="14.5" x14ac:dyDescent="0.35">
      <c r="A27" s="267" t="s">
        <v>88</v>
      </c>
      <c r="B27" s="267"/>
      <c r="C27" s="267"/>
    </row>
  </sheetData>
  <mergeCells count="1">
    <mergeCell ref="A1:C1"/>
  </mergeCells>
  <phoneticPr fontId="31" type="noConversion"/>
  <printOptions gridLines="1"/>
  <pageMargins left="0.25" right="0.25" top="1" bottom="1" header="0.5" footer="0.5"/>
  <pageSetup scale="64" orientation="landscape"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97"/>
  <sheetViews>
    <sheetView zoomScale="70" zoomScaleNormal="70" zoomScalePageLayoutView="125" workbookViewId="0">
      <selection activeCell="A15" sqref="A15"/>
    </sheetView>
  </sheetViews>
  <sheetFormatPr defaultColWidth="8.81640625" defaultRowHeight="12.5" x14ac:dyDescent="0.25"/>
  <cols>
    <col min="1" max="1" width="47" customWidth="1"/>
    <col min="2" max="2" width="36" bestFit="1" customWidth="1"/>
    <col min="3" max="3" width="14.1796875" bestFit="1" customWidth="1"/>
    <col min="4" max="4" width="10.81640625" bestFit="1" customWidth="1"/>
    <col min="5" max="5" width="13.453125" customWidth="1"/>
    <col min="6" max="6" width="15.453125" customWidth="1"/>
    <col min="7" max="7" width="9.1796875" customWidth="1"/>
    <col min="8" max="8" width="18.1796875" bestFit="1" customWidth="1"/>
    <col min="9" max="9" width="11.453125" bestFit="1" customWidth="1"/>
    <col min="10" max="10" width="12.54296875" bestFit="1" customWidth="1"/>
    <col min="11" max="11" width="15" style="150" bestFit="1" customWidth="1"/>
    <col min="12" max="12" width="51.36328125" style="3" bestFit="1" customWidth="1"/>
    <col min="13" max="13" width="10.81640625" style="3" customWidth="1"/>
    <col min="14" max="14" width="8.81640625" style="3" customWidth="1"/>
    <col min="15" max="15" width="3" style="3" customWidth="1"/>
    <col min="16" max="22" width="8.81640625" style="33" customWidth="1"/>
    <col min="23" max="23" width="10" style="33" customWidth="1"/>
    <col min="24" max="25" width="8.81640625" style="33" customWidth="1"/>
    <col min="26" max="26" width="8.81640625" customWidth="1"/>
    <col min="27" max="27" width="2.1796875" customWidth="1"/>
    <col min="28" max="28" width="16.1796875" style="3" customWidth="1"/>
    <col min="29" max="29" width="12.81640625" style="3" customWidth="1"/>
    <col min="30" max="33" width="8.81640625" customWidth="1"/>
  </cols>
  <sheetData>
    <row r="1" spans="1:35" ht="36" x14ac:dyDescent="0.4">
      <c r="A1" s="263" t="s">
        <v>311</v>
      </c>
      <c r="B1" s="277"/>
      <c r="C1" s="277"/>
      <c r="E1" s="277" t="s">
        <v>89</v>
      </c>
      <c r="F1" s="286">
        <f>MIN(B6:B19)</f>
        <v>6.58</v>
      </c>
      <c r="G1" s="277"/>
      <c r="H1" s="277" t="s">
        <v>91</v>
      </c>
      <c r="I1" s="277"/>
      <c r="J1" s="291">
        <f>MIN(H6:H19)</f>
        <v>14.100719424460429</v>
      </c>
      <c r="K1" s="287"/>
      <c r="L1" s="280"/>
      <c r="M1" s="24"/>
      <c r="N1" s="24"/>
      <c r="O1" s="24"/>
      <c r="P1" s="85"/>
      <c r="Q1" s="60"/>
      <c r="R1" s="61"/>
      <c r="S1" s="61"/>
      <c r="T1" s="61"/>
      <c r="U1" s="61"/>
      <c r="V1" s="61"/>
      <c r="W1" s="61"/>
      <c r="X1" s="61"/>
      <c r="Y1" s="61"/>
      <c r="Z1" s="62"/>
      <c r="AA1" s="63"/>
      <c r="AB1" s="64"/>
      <c r="AC1" s="46"/>
      <c r="AD1" s="1"/>
      <c r="AE1" s="1"/>
      <c r="AF1" s="1"/>
    </row>
    <row r="2" spans="1:35" ht="13" x14ac:dyDescent="0.3">
      <c r="A2" s="56"/>
      <c r="B2" s="279"/>
      <c r="C2" s="279"/>
      <c r="E2" s="279" t="s">
        <v>90</v>
      </c>
      <c r="F2" s="286">
        <f>MAX(B6:B19)</f>
        <v>11.65</v>
      </c>
      <c r="G2" s="279"/>
      <c r="H2" s="279" t="s">
        <v>92</v>
      </c>
      <c r="I2" s="279"/>
      <c r="J2" s="297">
        <f>MAX(H6:H19)</f>
        <v>20.362694300518136</v>
      </c>
      <c r="K2" s="288"/>
      <c r="L2" s="283"/>
      <c r="M2" s="40"/>
      <c r="N2" s="40"/>
      <c r="O2" s="40"/>
      <c r="P2" s="86"/>
      <c r="Q2" s="67"/>
      <c r="R2" s="67"/>
      <c r="S2" s="61"/>
      <c r="T2" s="61"/>
      <c r="U2" s="61"/>
      <c r="V2" s="61"/>
      <c r="W2" s="61"/>
      <c r="X2" s="61"/>
      <c r="Y2" s="61"/>
      <c r="Z2" s="62"/>
      <c r="AA2" s="63"/>
      <c r="AB2" s="64"/>
      <c r="AC2" s="46"/>
      <c r="AD2" s="1"/>
      <c r="AE2" s="1"/>
      <c r="AF2" s="1"/>
    </row>
    <row r="3" spans="1:35" ht="13" x14ac:dyDescent="0.3">
      <c r="A3" s="167"/>
      <c r="B3" s="276" t="s">
        <v>78</v>
      </c>
      <c r="C3" s="278"/>
      <c r="D3" s="278"/>
      <c r="E3" s="278"/>
      <c r="F3" s="278"/>
      <c r="G3" s="278"/>
      <c r="H3" s="278"/>
      <c r="I3" s="278"/>
      <c r="J3" s="276"/>
      <c r="K3" s="289"/>
      <c r="L3" s="280"/>
      <c r="M3" s="20"/>
      <c r="N3" s="20"/>
      <c r="O3" s="20"/>
      <c r="P3" s="87"/>
      <c r="Q3" s="69"/>
      <c r="R3" s="67"/>
      <c r="S3" s="61"/>
      <c r="T3" s="61"/>
      <c r="U3" s="61"/>
      <c r="V3" s="61"/>
      <c r="W3" s="61"/>
      <c r="X3" s="61"/>
      <c r="Y3" s="61"/>
      <c r="Z3" s="62"/>
      <c r="AA3" s="63"/>
      <c r="AB3" s="64"/>
      <c r="AC3" s="46"/>
      <c r="AD3" s="1"/>
      <c r="AE3" s="1"/>
      <c r="AF3" s="1"/>
    </row>
    <row r="4" spans="1:35" ht="13" x14ac:dyDescent="0.3">
      <c r="A4" s="14"/>
      <c r="B4" s="276"/>
      <c r="C4" s="278"/>
      <c r="D4" s="278"/>
      <c r="E4" s="278" t="s">
        <v>41</v>
      </c>
      <c r="F4" s="278"/>
      <c r="G4" s="278"/>
      <c r="H4" s="278"/>
      <c r="I4" s="278"/>
      <c r="J4" s="278"/>
      <c r="K4" s="289"/>
      <c r="L4" s="280"/>
      <c r="M4" s="20"/>
      <c r="N4" s="20"/>
      <c r="O4" s="20"/>
      <c r="P4" s="87"/>
      <c r="Q4" s="69"/>
      <c r="R4" s="67"/>
      <c r="S4" s="61"/>
      <c r="T4" s="61"/>
      <c r="U4" s="61"/>
      <c r="V4" s="61"/>
      <c r="W4" s="61"/>
      <c r="X4" s="61"/>
      <c r="Y4" s="61"/>
      <c r="Z4" s="62"/>
      <c r="AA4" s="63"/>
      <c r="AB4" s="64"/>
      <c r="AC4" s="46"/>
      <c r="AD4" s="1"/>
      <c r="AE4" s="1"/>
      <c r="AF4" s="1"/>
    </row>
    <row r="5" spans="1:35" ht="26" x14ac:dyDescent="0.3">
      <c r="B5" s="294" t="s">
        <v>136</v>
      </c>
      <c r="C5" s="281" t="s">
        <v>76</v>
      </c>
      <c r="D5" s="278" t="s">
        <v>26</v>
      </c>
      <c r="E5" s="278"/>
      <c r="F5" s="294" t="s">
        <v>140</v>
      </c>
      <c r="G5" s="294" t="s">
        <v>100</v>
      </c>
      <c r="H5" s="281" t="s">
        <v>131</v>
      </c>
      <c r="I5" s="281" t="s">
        <v>154</v>
      </c>
      <c r="J5" s="281" t="s">
        <v>155</v>
      </c>
      <c r="K5" s="296" t="s">
        <v>153</v>
      </c>
      <c r="L5" s="295" t="s">
        <v>101</v>
      </c>
      <c r="M5" s="18"/>
      <c r="N5" s="24"/>
      <c r="O5" s="24"/>
      <c r="P5" s="85"/>
      <c r="Q5" s="60"/>
      <c r="R5" s="60"/>
      <c r="S5" s="60"/>
      <c r="T5" s="60"/>
      <c r="U5" s="60"/>
      <c r="V5" s="60"/>
      <c r="W5" s="60"/>
      <c r="X5" s="60"/>
      <c r="Y5" s="60"/>
      <c r="Z5" s="59"/>
      <c r="AA5" s="70"/>
      <c r="AB5" s="71"/>
    </row>
    <row r="6" spans="1:35" s="346" customFormat="1" ht="18.5" x14ac:dyDescent="0.45">
      <c r="A6" s="346" t="s">
        <v>168</v>
      </c>
      <c r="B6" s="355" t="s">
        <v>293</v>
      </c>
      <c r="C6" s="201"/>
      <c r="D6" s="356"/>
      <c r="E6" s="357"/>
      <c r="F6" s="358"/>
      <c r="G6" s="359"/>
      <c r="H6" s="360"/>
      <c r="I6" s="361"/>
      <c r="J6" s="356">
        <f>RANK(I6,$I$6:$I$19)</f>
        <v>5</v>
      </c>
      <c r="K6" s="362">
        <f>C6+I6</f>
        <v>0</v>
      </c>
      <c r="L6" s="363" t="s">
        <v>293</v>
      </c>
      <c r="M6" s="364"/>
      <c r="N6" s="365"/>
      <c r="O6" s="365"/>
      <c r="P6" s="366"/>
      <c r="Q6" s="367"/>
      <c r="R6" s="367"/>
      <c r="S6" s="367"/>
      <c r="T6" s="367"/>
      <c r="U6" s="367"/>
      <c r="V6" s="367"/>
      <c r="W6" s="367"/>
      <c r="X6" s="367"/>
      <c r="Y6" s="367"/>
      <c r="Z6" s="368"/>
      <c r="AA6" s="369"/>
      <c r="AB6" s="370"/>
      <c r="AC6" s="371"/>
      <c r="AH6" s="372"/>
      <c r="AI6" s="372"/>
    </row>
    <row r="7" spans="1:35" s="346" customFormat="1" ht="18.5" x14ac:dyDescent="0.45">
      <c r="A7" s="346" t="s">
        <v>171</v>
      </c>
      <c r="B7" s="355" t="s">
        <v>293</v>
      </c>
      <c r="C7" s="201"/>
      <c r="D7" s="356"/>
      <c r="E7" s="373"/>
      <c r="F7" s="358"/>
      <c r="G7" s="359"/>
      <c r="H7" s="360"/>
      <c r="I7" s="361"/>
      <c r="J7" s="356">
        <f t="shared" ref="J7:J19" si="0">RANK(I7,$I$6:$I$19)</f>
        <v>5</v>
      </c>
      <c r="K7" s="362">
        <f t="shared" ref="K7:K15" si="1">C7+I7</f>
        <v>0</v>
      </c>
      <c r="L7" s="363" t="s">
        <v>293</v>
      </c>
      <c r="M7" s="364"/>
      <c r="N7" s="365"/>
      <c r="O7" s="365"/>
      <c r="P7" s="374"/>
      <c r="Q7" s="367"/>
      <c r="R7" s="367"/>
      <c r="S7" s="367"/>
      <c r="T7" s="367"/>
      <c r="U7" s="367"/>
      <c r="V7" s="367"/>
      <c r="W7" s="367"/>
      <c r="X7" s="367"/>
      <c r="Y7" s="367"/>
      <c r="Z7" s="368"/>
      <c r="AA7" s="369"/>
      <c r="AB7" s="370"/>
      <c r="AC7" s="371"/>
      <c r="AH7" s="372"/>
      <c r="AI7" s="372"/>
    </row>
    <row r="8" spans="1:35" s="346" customFormat="1" ht="18.5" x14ac:dyDescent="0.45">
      <c r="A8" s="346" t="s">
        <v>173</v>
      </c>
      <c r="B8" s="355" t="s">
        <v>293</v>
      </c>
      <c r="C8" s="201"/>
      <c r="D8" s="356"/>
      <c r="E8" s="373"/>
      <c r="F8" s="358"/>
      <c r="G8" s="359"/>
      <c r="H8" s="360"/>
      <c r="I8" s="361"/>
      <c r="J8" s="356">
        <f t="shared" si="0"/>
        <v>5</v>
      </c>
      <c r="K8" s="362">
        <f t="shared" si="1"/>
        <v>0</v>
      </c>
      <c r="L8" s="363" t="s">
        <v>294</v>
      </c>
      <c r="M8" s="364"/>
      <c r="N8" s="365"/>
      <c r="O8" s="365"/>
      <c r="P8" s="374"/>
      <c r="Q8" s="367"/>
      <c r="R8" s="367"/>
      <c r="S8" s="367"/>
      <c r="T8" s="367"/>
      <c r="U8" s="367"/>
      <c r="V8" s="367"/>
      <c r="W8" s="367"/>
      <c r="X8" s="367"/>
      <c r="Y8" s="367"/>
      <c r="Z8" s="368"/>
      <c r="AA8" s="369"/>
      <c r="AB8" s="370"/>
      <c r="AC8" s="371"/>
      <c r="AH8" s="372"/>
      <c r="AI8" s="372"/>
    </row>
    <row r="9" spans="1:35" s="380" customFormat="1" ht="18.5" x14ac:dyDescent="0.45">
      <c r="A9" s="346" t="s">
        <v>198</v>
      </c>
      <c r="B9" s="355">
        <v>10.199999999999999</v>
      </c>
      <c r="C9" s="201">
        <f t="shared" ref="C9:C14" si="2">$B$21*B9+$B$22</f>
        <v>16.084812623274175</v>
      </c>
      <c r="D9" s="356">
        <f t="shared" ref="D9:D14" si="3">RANK(C9,$C$6:$C$18)</f>
        <v>3</v>
      </c>
      <c r="E9" s="375"/>
      <c r="F9" s="358">
        <v>0.223</v>
      </c>
      <c r="G9" s="359">
        <v>3.93</v>
      </c>
      <c r="H9" s="360">
        <f t="shared" ref="H9:H14" si="4">G9/F9</f>
        <v>17.623318385650226</v>
      </c>
      <c r="I9" s="361">
        <f t="shared" ref="I9:I14" si="5">$F$21*H9+$F$22</f>
        <v>28.126901104779648</v>
      </c>
      <c r="J9" s="356">
        <f t="shared" si="0"/>
        <v>4</v>
      </c>
      <c r="K9" s="362">
        <f t="shared" si="1"/>
        <v>44.211713728053823</v>
      </c>
      <c r="L9" s="363" t="s">
        <v>295</v>
      </c>
      <c r="M9" s="376"/>
      <c r="N9" s="377"/>
      <c r="O9" s="377"/>
      <c r="P9" s="378"/>
      <c r="Q9" s="378"/>
      <c r="R9" s="378"/>
      <c r="S9" s="378"/>
      <c r="T9" s="378"/>
      <c r="U9" s="378"/>
      <c r="V9" s="378"/>
      <c r="W9" s="378"/>
      <c r="X9" s="378"/>
      <c r="Y9" s="378"/>
      <c r="Z9" s="379"/>
      <c r="AB9" s="381"/>
      <c r="AC9" s="381"/>
      <c r="AH9" s="382"/>
      <c r="AI9" s="382"/>
    </row>
    <row r="10" spans="1:35" s="380" customFormat="1" ht="18.5" x14ac:dyDescent="0.45">
      <c r="A10" s="346" t="s">
        <v>164</v>
      </c>
      <c r="B10" s="355">
        <v>8.91</v>
      </c>
      <c r="C10" s="201">
        <f t="shared" si="2"/>
        <v>28.170611439842219</v>
      </c>
      <c r="D10" s="356">
        <f t="shared" si="3"/>
        <v>2</v>
      </c>
      <c r="E10" s="375"/>
      <c r="F10" s="358">
        <v>0.20300000000000001</v>
      </c>
      <c r="G10" s="359">
        <v>3.94</v>
      </c>
      <c r="H10" s="360">
        <f t="shared" si="4"/>
        <v>19.40886699507389</v>
      </c>
      <c r="I10" s="361">
        <f t="shared" si="5"/>
        <v>42.383973711782602</v>
      </c>
      <c r="J10" s="356">
        <f t="shared" si="0"/>
        <v>2</v>
      </c>
      <c r="K10" s="362">
        <f t="shared" si="1"/>
        <v>70.554585151624821</v>
      </c>
      <c r="L10" s="363" t="s">
        <v>295</v>
      </c>
      <c r="M10" s="376"/>
      <c r="N10" s="377"/>
      <c r="O10" s="377"/>
      <c r="P10" s="383"/>
      <c r="Q10" s="383"/>
      <c r="R10" s="383"/>
      <c r="S10" s="383"/>
      <c r="T10" s="378"/>
      <c r="U10" s="378"/>
      <c r="V10" s="378"/>
      <c r="W10" s="378"/>
      <c r="X10" s="378"/>
      <c r="Y10" s="378"/>
      <c r="Z10" s="379"/>
      <c r="AB10" s="381"/>
      <c r="AC10" s="381"/>
      <c r="AH10" s="382"/>
      <c r="AI10" s="382"/>
    </row>
    <row r="11" spans="1:35" s="346" customFormat="1" ht="18.5" x14ac:dyDescent="0.45">
      <c r="A11" s="346" t="s">
        <v>208</v>
      </c>
      <c r="B11" s="355" t="s">
        <v>293</v>
      </c>
      <c r="C11" s="201"/>
      <c r="D11" s="356"/>
      <c r="E11" s="357"/>
      <c r="F11" s="358"/>
      <c r="G11" s="359"/>
      <c r="H11" s="360"/>
      <c r="I11" s="361"/>
      <c r="J11" s="356">
        <f t="shared" si="0"/>
        <v>5</v>
      </c>
      <c r="K11" s="362">
        <f t="shared" si="1"/>
        <v>0</v>
      </c>
      <c r="L11" s="363" t="s">
        <v>293</v>
      </c>
      <c r="M11" s="364"/>
      <c r="N11" s="365"/>
      <c r="O11" s="365"/>
      <c r="P11" s="366"/>
      <c r="Q11" s="384"/>
      <c r="R11" s="384"/>
      <c r="S11" s="384"/>
      <c r="T11" s="367"/>
      <c r="U11" s="367"/>
      <c r="V11" s="367"/>
      <c r="W11" s="367"/>
      <c r="X11" s="367"/>
      <c r="Y11" s="367"/>
      <c r="Z11" s="368"/>
      <c r="AA11" s="369"/>
      <c r="AB11" s="370"/>
      <c r="AC11" s="371"/>
      <c r="AH11" s="372"/>
      <c r="AI11" s="372"/>
    </row>
    <row r="12" spans="1:35" s="346" customFormat="1" ht="18.5" x14ac:dyDescent="0.45">
      <c r="A12" s="346" t="s">
        <v>167</v>
      </c>
      <c r="B12" s="355">
        <v>6.58</v>
      </c>
      <c r="C12" s="201">
        <f t="shared" si="2"/>
        <v>50.000000000000007</v>
      </c>
      <c r="D12" s="356">
        <f t="shared" si="3"/>
        <v>1</v>
      </c>
      <c r="E12" s="357"/>
      <c r="F12" s="358">
        <v>0.21099999999999999</v>
      </c>
      <c r="G12" s="359">
        <v>3.95</v>
      </c>
      <c r="H12" s="360">
        <f t="shared" si="4"/>
        <v>18.720379146919434</v>
      </c>
      <c r="I12" s="361">
        <f t="shared" si="5"/>
        <v>36.88660377832241</v>
      </c>
      <c r="J12" s="356">
        <f t="shared" si="0"/>
        <v>3</v>
      </c>
      <c r="K12" s="362">
        <f t="shared" si="1"/>
        <v>86.88660377832241</v>
      </c>
      <c r="L12" s="363" t="s">
        <v>296</v>
      </c>
      <c r="M12" s="364"/>
      <c r="N12" s="365"/>
      <c r="O12" s="365"/>
      <c r="P12" s="366"/>
      <c r="Q12" s="384"/>
      <c r="R12" s="384"/>
      <c r="S12" s="384"/>
      <c r="T12" s="367"/>
      <c r="U12" s="367"/>
      <c r="V12" s="367"/>
      <c r="W12" s="367"/>
      <c r="X12" s="367"/>
      <c r="Y12" s="367"/>
      <c r="Z12" s="368"/>
      <c r="AA12" s="369"/>
      <c r="AB12" s="370"/>
      <c r="AC12" s="371"/>
      <c r="AH12" s="372"/>
      <c r="AI12" s="372"/>
    </row>
    <row r="13" spans="1:35" s="346" customFormat="1" ht="18.5" x14ac:dyDescent="0.45">
      <c r="A13" s="346" t="s">
        <v>209</v>
      </c>
      <c r="B13" s="355" t="s">
        <v>293</v>
      </c>
      <c r="C13" s="201"/>
      <c r="D13" s="356"/>
      <c r="E13" s="373"/>
      <c r="F13" s="358"/>
      <c r="G13" s="359"/>
      <c r="H13" s="360"/>
      <c r="I13" s="361"/>
      <c r="J13" s="356">
        <f t="shared" si="0"/>
        <v>5</v>
      </c>
      <c r="K13" s="362">
        <f t="shared" si="1"/>
        <v>0</v>
      </c>
      <c r="L13" s="363" t="s">
        <v>293</v>
      </c>
      <c r="M13" s="364"/>
      <c r="N13" s="365"/>
      <c r="O13" s="365"/>
      <c r="P13" s="374"/>
      <c r="Q13" s="367"/>
      <c r="R13" s="367"/>
      <c r="S13" s="367"/>
      <c r="T13" s="367"/>
      <c r="U13" s="367"/>
      <c r="V13" s="367"/>
      <c r="W13" s="367"/>
      <c r="X13" s="367"/>
      <c r="Y13" s="367"/>
      <c r="Z13" s="368"/>
      <c r="AA13" s="369"/>
      <c r="AB13" s="370"/>
      <c r="AC13" s="371"/>
      <c r="AH13" s="372"/>
      <c r="AI13" s="372"/>
    </row>
    <row r="14" spans="1:35" s="346" customFormat="1" ht="18.5" x14ac:dyDescent="0.45">
      <c r="A14" s="346" t="s">
        <v>170</v>
      </c>
      <c r="B14" s="355">
        <v>11.27</v>
      </c>
      <c r="C14" s="201">
        <f t="shared" si="2"/>
        <v>6.0601577909270361</v>
      </c>
      <c r="D14" s="356">
        <f t="shared" si="3"/>
        <v>4</v>
      </c>
      <c r="E14" s="357"/>
      <c r="F14" s="358">
        <v>0.27800000000000002</v>
      </c>
      <c r="G14" s="359">
        <v>3.92</v>
      </c>
      <c r="H14" s="360">
        <f t="shared" si="4"/>
        <v>14.100719424460429</v>
      </c>
      <c r="I14" s="361">
        <f t="shared" si="5"/>
        <v>0</v>
      </c>
      <c r="J14" s="356">
        <f t="shared" si="0"/>
        <v>5</v>
      </c>
      <c r="K14" s="362">
        <f t="shared" si="1"/>
        <v>6.0601577909270361</v>
      </c>
      <c r="L14" s="363" t="s">
        <v>297</v>
      </c>
      <c r="M14" s="364"/>
      <c r="N14" s="365"/>
      <c r="O14" s="365"/>
      <c r="P14" s="374"/>
      <c r="Q14" s="367"/>
      <c r="R14" s="367"/>
      <c r="S14" s="367"/>
      <c r="T14" s="367"/>
      <c r="U14" s="367"/>
      <c r="V14" s="367"/>
      <c r="W14" s="367"/>
      <c r="X14" s="367"/>
      <c r="Y14" s="367"/>
      <c r="Z14" s="368"/>
      <c r="AA14" s="369"/>
      <c r="AB14" s="370"/>
      <c r="AC14" s="371"/>
      <c r="AH14" s="372"/>
      <c r="AI14" s="372"/>
    </row>
    <row r="15" spans="1:35" s="346" customFormat="1" ht="18.5" x14ac:dyDescent="0.45">
      <c r="A15" s="346" t="s">
        <v>166</v>
      </c>
      <c r="B15" s="355" t="s">
        <v>293</v>
      </c>
      <c r="C15" s="201">
        <v>2.5</v>
      </c>
      <c r="D15" s="356"/>
      <c r="E15" s="385"/>
      <c r="F15" s="358"/>
      <c r="G15" s="359"/>
      <c r="H15" s="360"/>
      <c r="I15" s="361"/>
      <c r="J15" s="356">
        <f t="shared" si="0"/>
        <v>5</v>
      </c>
      <c r="K15" s="362">
        <f t="shared" si="1"/>
        <v>2.5</v>
      </c>
      <c r="L15" s="363" t="s">
        <v>298</v>
      </c>
      <c r="M15" s="364"/>
      <c r="N15" s="365"/>
      <c r="O15" s="365"/>
      <c r="P15" s="374"/>
      <c r="Q15" s="367"/>
      <c r="R15" s="367"/>
      <c r="S15" s="367"/>
      <c r="T15" s="367"/>
      <c r="U15" s="367"/>
      <c r="V15" s="367"/>
      <c r="W15" s="367"/>
      <c r="X15" s="367"/>
      <c r="Y15" s="367"/>
      <c r="Z15" s="368"/>
      <c r="AA15" s="369"/>
      <c r="AB15" s="370"/>
      <c r="AC15" s="371"/>
      <c r="AH15" s="372"/>
      <c r="AI15" s="372"/>
    </row>
    <row r="16" spans="1:35" s="392" customFormat="1" ht="18.5" x14ac:dyDescent="0.45">
      <c r="A16" s="346" t="s">
        <v>165</v>
      </c>
      <c r="B16" s="355" t="s">
        <v>293</v>
      </c>
      <c r="C16" s="201">
        <v>2.5</v>
      </c>
      <c r="D16" s="356"/>
      <c r="E16" s="357"/>
      <c r="F16" s="386"/>
      <c r="G16" s="387"/>
      <c r="H16" s="360"/>
      <c r="I16" s="361"/>
      <c r="J16" s="356">
        <f t="shared" si="0"/>
        <v>5</v>
      </c>
      <c r="K16" s="362">
        <f t="shared" ref="K16:K19" si="6">C16+I16</f>
        <v>2.5</v>
      </c>
      <c r="L16" s="363" t="s">
        <v>299</v>
      </c>
      <c r="M16" s="388"/>
      <c r="N16" s="389"/>
      <c r="O16" s="389"/>
      <c r="P16" s="390"/>
      <c r="Q16" s="390"/>
      <c r="R16" s="390"/>
      <c r="S16" s="390"/>
      <c r="T16" s="390"/>
      <c r="U16" s="390"/>
      <c r="V16" s="390"/>
      <c r="W16" s="390"/>
      <c r="X16" s="390"/>
      <c r="Y16" s="390"/>
      <c r="Z16" s="391"/>
      <c r="AB16" s="393"/>
      <c r="AC16" s="393"/>
      <c r="AH16" s="394"/>
      <c r="AI16" s="394"/>
    </row>
    <row r="17" spans="1:35" s="392" customFormat="1" ht="18.5" x14ac:dyDescent="0.45">
      <c r="A17" s="346" t="s">
        <v>172</v>
      </c>
      <c r="B17" s="355" t="s">
        <v>293</v>
      </c>
      <c r="C17" s="201"/>
      <c r="D17" s="356"/>
      <c r="E17" s="357"/>
      <c r="F17" s="386"/>
      <c r="G17" s="387"/>
      <c r="H17" s="360"/>
      <c r="I17" s="361"/>
      <c r="J17" s="356">
        <f t="shared" si="0"/>
        <v>5</v>
      </c>
      <c r="K17" s="362">
        <f t="shared" si="6"/>
        <v>0</v>
      </c>
      <c r="L17" s="363" t="s">
        <v>293</v>
      </c>
      <c r="M17" s="388"/>
      <c r="N17" s="389"/>
      <c r="O17" s="389"/>
      <c r="P17" s="390"/>
      <c r="Q17" s="390"/>
      <c r="R17" s="390"/>
      <c r="S17" s="390"/>
      <c r="T17" s="390"/>
      <c r="U17" s="390"/>
      <c r="V17" s="390"/>
      <c r="W17" s="390"/>
      <c r="X17" s="390"/>
      <c r="Y17" s="390"/>
      <c r="Z17" s="391"/>
      <c r="AB17" s="393"/>
      <c r="AC17" s="393"/>
      <c r="AH17" s="394"/>
      <c r="AI17" s="394"/>
    </row>
    <row r="18" spans="1:35" s="346" customFormat="1" ht="18.5" x14ac:dyDescent="0.45">
      <c r="A18" s="346" t="s">
        <v>210</v>
      </c>
      <c r="B18" s="355">
        <v>11.65</v>
      </c>
      <c r="C18" s="201">
        <f t="shared" ref="C18" si="7">$B$21*B18+$B$22</f>
        <v>2.5</v>
      </c>
      <c r="D18" s="356">
        <f t="shared" ref="D18" si="8">RANK(C18,$C$6:$C$18)</f>
        <v>5</v>
      </c>
      <c r="E18" s="357"/>
      <c r="F18" s="358">
        <v>0.193</v>
      </c>
      <c r="G18" s="359">
        <v>3.93</v>
      </c>
      <c r="H18" s="360">
        <f t="shared" ref="H18" si="9">G18/F18</f>
        <v>20.362694300518136</v>
      </c>
      <c r="I18" s="361">
        <f t="shared" ref="I18" si="10">$F$21*H18+$F$22</f>
        <v>50</v>
      </c>
      <c r="J18" s="356">
        <f t="shared" si="0"/>
        <v>1</v>
      </c>
      <c r="K18" s="362">
        <f t="shared" si="6"/>
        <v>52.5</v>
      </c>
      <c r="L18" s="395" t="s">
        <v>300</v>
      </c>
      <c r="M18" s="396"/>
      <c r="N18" s="396"/>
      <c r="O18" s="396"/>
      <c r="P18" s="397"/>
      <c r="Q18" s="398"/>
      <c r="R18" s="398"/>
      <c r="S18" s="398"/>
      <c r="T18" s="398"/>
      <c r="U18" s="398"/>
      <c r="V18" s="398"/>
      <c r="W18" s="398"/>
      <c r="X18" s="398"/>
      <c r="Y18" s="398"/>
      <c r="Z18" s="399"/>
      <c r="AA18" s="400"/>
      <c r="AB18" s="401"/>
      <c r="AC18" s="350"/>
      <c r="AD18" s="402"/>
      <c r="AE18" s="402"/>
      <c r="AF18" s="402"/>
      <c r="AG18" s="402"/>
      <c r="AH18" s="372"/>
      <c r="AI18" s="372"/>
    </row>
    <row r="19" spans="1:35" s="346" customFormat="1" ht="18.5" x14ac:dyDescent="0.45">
      <c r="A19" s="346" t="s">
        <v>169</v>
      </c>
      <c r="B19" s="479" t="s">
        <v>293</v>
      </c>
      <c r="C19" s="201"/>
      <c r="D19" s="356"/>
      <c r="E19" s="403"/>
      <c r="F19" s="403"/>
      <c r="G19" s="403"/>
      <c r="H19" s="360"/>
      <c r="I19" s="361"/>
      <c r="J19" s="356">
        <f t="shared" si="0"/>
        <v>5</v>
      </c>
      <c r="K19" s="362">
        <f t="shared" si="6"/>
        <v>0</v>
      </c>
      <c r="L19" s="480" t="s">
        <v>293</v>
      </c>
      <c r="M19" s="404"/>
      <c r="N19" s="405"/>
      <c r="O19" s="406"/>
      <c r="P19" s="407"/>
      <c r="Q19" s="407"/>
      <c r="R19" s="407"/>
      <c r="S19" s="407"/>
      <c r="T19" s="407"/>
      <c r="U19" s="407"/>
      <c r="V19" s="407"/>
      <c r="W19" s="407"/>
      <c r="X19" s="407"/>
      <c r="Y19" s="407"/>
      <c r="Z19" s="408"/>
      <c r="AA19" s="401"/>
      <c r="AB19" s="409"/>
      <c r="AC19" s="350"/>
      <c r="AD19" s="402"/>
      <c r="AE19" s="402"/>
      <c r="AF19" s="402"/>
      <c r="AG19" s="402"/>
      <c r="AH19" s="372"/>
      <c r="AI19" s="372"/>
    </row>
    <row r="20" spans="1:35" s="239" customFormat="1" ht="18" x14ac:dyDescent="0.4">
      <c r="A20" s="410"/>
      <c r="B20" s="411"/>
      <c r="C20" s="411"/>
      <c r="D20" s="411"/>
      <c r="E20" s="411"/>
      <c r="F20" s="411"/>
      <c r="G20" s="411"/>
      <c r="H20" s="411"/>
      <c r="I20" s="411"/>
      <c r="J20" s="411"/>
      <c r="K20" s="412"/>
      <c r="L20" s="411"/>
      <c r="M20" s="413"/>
      <c r="N20" s="414"/>
      <c r="O20" s="415"/>
      <c r="P20" s="416"/>
      <c r="Q20" s="416"/>
      <c r="R20" s="416"/>
      <c r="S20" s="416"/>
      <c r="T20" s="416"/>
      <c r="U20" s="416"/>
      <c r="V20" s="416"/>
      <c r="W20" s="416"/>
      <c r="X20" s="416"/>
      <c r="Y20" s="416"/>
      <c r="Z20" s="417"/>
      <c r="AA20" s="418"/>
      <c r="AB20" s="419"/>
      <c r="AC20" s="420"/>
      <c r="AD20" s="421"/>
      <c r="AE20" s="421"/>
      <c r="AF20" s="421"/>
      <c r="AG20" s="421"/>
      <c r="AH20" s="422"/>
      <c r="AI20" s="422"/>
    </row>
    <row r="21" spans="1:35" ht="14" x14ac:dyDescent="0.3">
      <c r="A21" s="292"/>
      <c r="B21" s="274">
        <f>(50-2.5)/(F1-F2)</f>
        <v>-9.3688362919132153</v>
      </c>
      <c r="D21" s="284"/>
      <c r="E21" s="282"/>
      <c r="F21" s="298">
        <f>(50)/(J2-J1)</f>
        <v>7.9847014703256098</v>
      </c>
      <c r="G21" s="282"/>
      <c r="H21" s="275"/>
      <c r="I21" s="282"/>
      <c r="J21" s="282"/>
      <c r="K21" s="290"/>
      <c r="L21" s="282"/>
      <c r="M21" s="74"/>
      <c r="N21" s="75"/>
      <c r="O21" s="72"/>
      <c r="P21" s="81"/>
      <c r="Q21" s="81"/>
      <c r="R21" s="81"/>
      <c r="S21" s="81"/>
      <c r="T21" s="81"/>
      <c r="U21" s="81"/>
      <c r="V21" s="81"/>
      <c r="W21" s="81"/>
      <c r="X21" s="81"/>
      <c r="Y21" s="81"/>
      <c r="Z21" s="76"/>
      <c r="AA21" s="83"/>
      <c r="AB21" s="82"/>
    </row>
    <row r="22" spans="1:35" ht="14" x14ac:dyDescent="0.3">
      <c r="A22" s="293"/>
      <c r="B22" s="274">
        <f>2.5-(B21*F2)</f>
        <v>111.64694280078896</v>
      </c>
      <c r="D22" s="285" t="s">
        <v>41</v>
      </c>
      <c r="E22" s="282"/>
      <c r="F22" s="293">
        <f>-(F21*J1)</f>
        <v>-112.59003512113807</v>
      </c>
      <c r="G22" s="282"/>
      <c r="H22" s="275"/>
      <c r="I22" s="282"/>
      <c r="J22" s="282"/>
      <c r="K22" s="290"/>
      <c r="L22" s="282"/>
      <c r="M22" s="74"/>
      <c r="N22" s="75"/>
      <c r="O22" s="72"/>
      <c r="P22" s="81"/>
      <c r="Q22" s="81"/>
      <c r="R22" s="81"/>
      <c r="S22" s="81"/>
      <c r="T22" s="81"/>
      <c r="U22" s="81"/>
      <c r="V22" s="81"/>
      <c r="W22" s="81"/>
      <c r="X22" s="81"/>
      <c r="Y22" s="81"/>
      <c r="Z22" s="76"/>
      <c r="AA22" s="83"/>
      <c r="AB22" s="82"/>
    </row>
    <row r="23" spans="1:35" ht="14" x14ac:dyDescent="0.3">
      <c r="A23" s="65" t="s">
        <v>41</v>
      </c>
      <c r="B23" s="66"/>
      <c r="C23" s="107"/>
      <c r="D23" s="107"/>
      <c r="E23" s="66"/>
      <c r="F23" s="66"/>
      <c r="G23" s="66"/>
      <c r="H23" s="66"/>
      <c r="I23" s="66"/>
      <c r="J23" s="66"/>
      <c r="K23" s="144"/>
      <c r="L23" s="66"/>
      <c r="M23" s="66"/>
      <c r="N23" s="75"/>
      <c r="O23" s="72"/>
      <c r="P23" s="66"/>
      <c r="Q23" s="66"/>
      <c r="R23" s="66"/>
      <c r="S23" s="66"/>
      <c r="T23" s="66"/>
      <c r="U23" s="66"/>
      <c r="V23" s="66"/>
      <c r="W23" s="66"/>
      <c r="X23" s="66"/>
      <c r="Y23" s="66"/>
      <c r="Z23" s="76"/>
      <c r="AA23" s="83"/>
      <c r="AB23" s="82"/>
    </row>
    <row r="24" spans="1:35" ht="13" x14ac:dyDescent="0.3">
      <c r="A24" s="65"/>
      <c r="B24" s="74"/>
      <c r="C24" s="74" t="s">
        <v>41</v>
      </c>
      <c r="D24" s="108" t="s">
        <v>41</v>
      </c>
      <c r="E24" s="74"/>
      <c r="F24" s="74"/>
      <c r="G24" s="74"/>
      <c r="H24" s="74"/>
      <c r="I24" s="74"/>
      <c r="J24" s="74"/>
      <c r="K24" s="144"/>
      <c r="L24" s="74"/>
      <c r="M24" s="74"/>
      <c r="N24" s="75"/>
      <c r="O24" s="72"/>
      <c r="P24" s="81"/>
      <c r="Q24" s="81"/>
      <c r="R24" s="81"/>
      <c r="S24" s="81"/>
      <c r="T24" s="81"/>
      <c r="U24" s="81"/>
      <c r="V24" s="81"/>
      <c r="W24" s="81"/>
      <c r="X24" s="81"/>
      <c r="Y24" s="81"/>
      <c r="Z24" s="76"/>
      <c r="AA24" s="83"/>
      <c r="AB24" s="82"/>
    </row>
    <row r="25" spans="1:35" ht="13" x14ac:dyDescent="0.3">
      <c r="A25" s="65"/>
      <c r="B25" s="74"/>
      <c r="C25" s="74" t="s">
        <v>71</v>
      </c>
      <c r="D25" s="74"/>
      <c r="E25" s="74"/>
      <c r="F25" s="74"/>
      <c r="G25" s="74"/>
      <c r="H25" s="74"/>
      <c r="I25" s="74"/>
      <c r="J25" s="74"/>
      <c r="K25" s="144"/>
      <c r="L25" s="74"/>
      <c r="M25" s="74"/>
      <c r="N25" s="75"/>
      <c r="O25" s="72"/>
      <c r="P25" s="81"/>
      <c r="Q25" s="81"/>
      <c r="R25" s="81"/>
      <c r="S25" s="81"/>
      <c r="T25" s="81"/>
      <c r="U25" s="81"/>
      <c r="V25" s="81"/>
      <c r="W25" s="81"/>
      <c r="X25" s="81"/>
      <c r="Y25" s="81"/>
      <c r="Z25" s="76"/>
      <c r="AA25" s="83"/>
      <c r="AB25" s="82"/>
    </row>
    <row r="26" spans="1:35" ht="13" x14ac:dyDescent="0.3">
      <c r="A26" s="65"/>
      <c r="B26" s="66"/>
      <c r="C26" s="66"/>
      <c r="D26" s="66"/>
      <c r="E26" s="66"/>
      <c r="F26" s="66"/>
      <c r="G26" s="66"/>
      <c r="H26" s="66"/>
      <c r="I26" s="66"/>
      <c r="J26" s="66"/>
      <c r="K26" s="144"/>
      <c r="L26" s="66"/>
      <c r="M26" s="66"/>
      <c r="N26" s="75"/>
      <c r="O26" s="72"/>
      <c r="P26" s="66"/>
      <c r="Q26" s="66"/>
      <c r="R26" s="66"/>
      <c r="S26" s="66"/>
      <c r="T26" s="66"/>
      <c r="U26" s="66"/>
      <c r="V26" s="66"/>
      <c r="W26" s="66"/>
      <c r="X26" s="66"/>
      <c r="Y26" s="66"/>
      <c r="Z26" s="76"/>
      <c r="AA26" s="83"/>
      <c r="AB26" s="82"/>
    </row>
    <row r="27" spans="1:35" ht="13" x14ac:dyDescent="0.3">
      <c r="A27" s="65"/>
      <c r="B27" s="66"/>
      <c r="C27" s="66"/>
      <c r="D27" s="66"/>
      <c r="E27" s="66"/>
      <c r="F27" s="66"/>
      <c r="G27" s="66"/>
      <c r="H27" s="66"/>
      <c r="I27" s="66"/>
      <c r="J27" s="66"/>
      <c r="K27" s="144"/>
      <c r="L27" s="66"/>
      <c r="M27" s="66"/>
      <c r="N27" s="75"/>
      <c r="O27" s="72"/>
      <c r="P27" s="66"/>
      <c r="Q27" s="66"/>
      <c r="R27" s="66"/>
      <c r="S27" s="66"/>
      <c r="T27" s="66"/>
      <c r="U27" s="66"/>
      <c r="V27" s="66"/>
      <c r="W27" s="66"/>
      <c r="X27" s="66"/>
      <c r="Y27" s="66"/>
      <c r="Z27" s="76"/>
      <c r="AA27" s="83"/>
      <c r="AB27" s="82"/>
    </row>
    <row r="28" spans="1:35" ht="13" x14ac:dyDescent="0.3">
      <c r="A28" s="65"/>
      <c r="B28" s="74"/>
      <c r="C28" s="74"/>
      <c r="D28" s="74"/>
      <c r="E28" s="74"/>
      <c r="F28" s="74"/>
      <c r="G28" s="74"/>
      <c r="H28" s="74"/>
      <c r="I28" s="74"/>
      <c r="J28" s="74"/>
      <c r="K28" s="144"/>
      <c r="L28" s="74"/>
      <c r="M28" s="74"/>
      <c r="N28" s="75"/>
      <c r="O28" s="72"/>
      <c r="P28" s="81"/>
      <c r="Q28" s="81"/>
      <c r="R28" s="81"/>
      <c r="S28" s="81"/>
      <c r="T28" s="81"/>
      <c r="U28" s="81"/>
      <c r="V28" s="81"/>
      <c r="W28" s="81"/>
      <c r="X28" s="81"/>
      <c r="Y28" s="81"/>
      <c r="Z28" s="76"/>
      <c r="AA28" s="83"/>
      <c r="AB28" s="82"/>
    </row>
    <row r="29" spans="1:35" ht="13" x14ac:dyDescent="0.3">
      <c r="A29" s="65"/>
      <c r="B29" s="74"/>
      <c r="C29" s="74"/>
      <c r="D29" s="74"/>
      <c r="E29" s="74"/>
      <c r="F29" s="74"/>
      <c r="G29" s="74"/>
      <c r="H29" s="74"/>
      <c r="I29" s="74"/>
      <c r="J29" s="74"/>
      <c r="K29" s="144"/>
      <c r="L29" s="74"/>
      <c r="M29" s="74"/>
      <c r="N29" s="75"/>
      <c r="O29" s="72"/>
      <c r="P29" s="81"/>
      <c r="Q29" s="81"/>
      <c r="R29" s="81"/>
      <c r="S29" s="81"/>
      <c r="T29" s="81"/>
      <c r="U29" s="81"/>
      <c r="V29" s="81"/>
      <c r="W29" s="81"/>
      <c r="X29" s="81"/>
      <c r="Y29" s="81"/>
      <c r="Z29" s="76"/>
      <c r="AA29" s="83"/>
      <c r="AB29" s="82"/>
    </row>
    <row r="30" spans="1:35" ht="13" x14ac:dyDescent="0.3">
      <c r="A30" s="65"/>
      <c r="B30" s="66"/>
      <c r="C30" s="66"/>
      <c r="D30" s="66"/>
      <c r="E30" s="66"/>
      <c r="F30" s="66"/>
      <c r="G30" s="66"/>
      <c r="H30" s="66"/>
      <c r="I30" s="66"/>
      <c r="J30" s="66"/>
      <c r="K30" s="144"/>
      <c r="L30" s="66"/>
      <c r="M30" s="66"/>
      <c r="N30" s="75"/>
      <c r="O30" s="72"/>
      <c r="P30" s="66"/>
      <c r="Q30" s="66"/>
      <c r="R30" s="66"/>
      <c r="S30" s="66"/>
      <c r="T30" s="66"/>
      <c r="U30" s="66"/>
      <c r="V30" s="66"/>
      <c r="W30" s="66"/>
      <c r="X30" s="66"/>
      <c r="Y30" s="66"/>
      <c r="Z30" s="76"/>
      <c r="AA30" s="83"/>
      <c r="AB30" s="82"/>
    </row>
    <row r="31" spans="1:35" ht="13" x14ac:dyDescent="0.3">
      <c r="A31" s="65"/>
      <c r="B31" s="84"/>
      <c r="C31" s="74"/>
      <c r="D31" s="74"/>
      <c r="E31" s="74"/>
      <c r="F31" s="74"/>
      <c r="G31" s="74"/>
      <c r="H31" s="74"/>
      <c r="I31" s="74"/>
      <c r="J31" s="74"/>
      <c r="K31" s="144"/>
      <c r="L31" s="74"/>
      <c r="M31" s="74"/>
      <c r="N31" s="75"/>
      <c r="O31" s="72"/>
      <c r="P31" s="81"/>
      <c r="Q31" s="81"/>
      <c r="R31" s="81"/>
      <c r="S31" s="81"/>
      <c r="T31" s="81"/>
      <c r="U31" s="81"/>
      <c r="V31" s="81"/>
      <c r="W31" s="81"/>
      <c r="X31" s="81"/>
      <c r="Y31" s="81"/>
      <c r="Z31" s="76"/>
      <c r="AA31" s="83"/>
      <c r="AB31" s="82"/>
    </row>
    <row r="32" spans="1:35" ht="13" x14ac:dyDescent="0.3">
      <c r="A32" s="65"/>
      <c r="B32" s="74"/>
      <c r="C32" s="74"/>
      <c r="D32" s="74"/>
      <c r="E32" s="74"/>
      <c r="F32" s="74"/>
      <c r="G32" s="74"/>
      <c r="H32" s="74"/>
      <c r="I32" s="74"/>
      <c r="J32" s="74"/>
      <c r="K32" s="144"/>
      <c r="L32" s="74"/>
      <c r="M32" s="74"/>
      <c r="N32" s="76"/>
      <c r="O32" s="72"/>
      <c r="P32" s="81"/>
      <c r="Q32" s="81"/>
      <c r="R32" s="81"/>
      <c r="S32" s="81"/>
      <c r="T32" s="81"/>
      <c r="U32" s="81"/>
      <c r="V32" s="81"/>
      <c r="W32" s="81"/>
      <c r="X32" s="81"/>
      <c r="Y32" s="81"/>
      <c r="Z32" s="76"/>
      <c r="AA32" s="83"/>
      <c r="AB32" s="64"/>
    </row>
    <row r="33" spans="1:28" ht="13" x14ac:dyDescent="0.3">
      <c r="A33" s="65"/>
      <c r="B33" s="66"/>
      <c r="C33" s="66"/>
      <c r="D33" s="105"/>
      <c r="E33" s="52"/>
      <c r="F33" s="52"/>
      <c r="G33" s="66"/>
      <c r="H33" s="66"/>
      <c r="I33" s="66"/>
      <c r="J33" s="66"/>
      <c r="K33" s="144"/>
      <c r="L33" s="66"/>
      <c r="M33" s="66"/>
      <c r="N33" s="75"/>
      <c r="O33" s="72"/>
      <c r="P33" s="66"/>
      <c r="Q33" s="66"/>
      <c r="R33" s="66"/>
      <c r="S33" s="66"/>
      <c r="T33" s="66"/>
      <c r="U33" s="66"/>
      <c r="V33" s="66"/>
      <c r="W33" s="66"/>
      <c r="X33" s="66"/>
      <c r="Y33" s="66"/>
      <c r="Z33" s="76"/>
      <c r="AA33" s="83"/>
      <c r="AB33" s="82"/>
    </row>
    <row r="34" spans="1:28" ht="13" x14ac:dyDescent="0.3">
      <c r="A34" s="65"/>
      <c r="B34" s="74"/>
      <c r="C34" s="74"/>
      <c r="D34" s="52"/>
      <c r="E34" s="52"/>
      <c r="F34" s="104"/>
      <c r="G34" s="103"/>
      <c r="H34" s="103"/>
      <c r="I34" s="103"/>
      <c r="J34" s="74"/>
      <c r="K34" s="144"/>
      <c r="L34" s="74"/>
      <c r="M34" s="74"/>
      <c r="N34" s="75"/>
      <c r="O34" s="72"/>
      <c r="P34" s="81"/>
      <c r="Q34" s="81"/>
      <c r="R34" s="81"/>
      <c r="S34" s="81"/>
      <c r="T34" s="81"/>
      <c r="U34" s="81"/>
      <c r="V34" s="81"/>
      <c r="W34" s="81"/>
      <c r="X34" s="81"/>
      <c r="Y34" s="81"/>
      <c r="Z34" s="76"/>
      <c r="AA34" s="83"/>
      <c r="AB34" s="82"/>
    </row>
    <row r="35" spans="1:28" ht="13" x14ac:dyDescent="0.3">
      <c r="A35" s="65"/>
      <c r="B35" s="74"/>
      <c r="C35" s="66"/>
      <c r="D35" s="52"/>
      <c r="E35" s="52"/>
      <c r="F35" s="52"/>
      <c r="G35" s="66"/>
      <c r="H35" s="66"/>
      <c r="I35" s="66"/>
      <c r="J35" s="66"/>
      <c r="K35" s="144"/>
      <c r="L35" s="66"/>
      <c r="M35" s="66"/>
      <c r="N35" s="75"/>
      <c r="O35" s="66"/>
      <c r="P35" s="66"/>
      <c r="Q35" s="66"/>
      <c r="R35" s="66"/>
      <c r="S35" s="66"/>
      <c r="T35" s="66"/>
      <c r="U35" s="66"/>
      <c r="V35" s="66"/>
      <c r="W35" s="66"/>
      <c r="X35" s="66"/>
      <c r="Y35" s="66"/>
      <c r="Z35" s="76"/>
      <c r="AA35" s="83"/>
      <c r="AB35" s="82"/>
    </row>
    <row r="36" spans="1:28" x14ac:dyDescent="0.25">
      <c r="A36" s="59"/>
      <c r="B36" s="66"/>
      <c r="C36" s="66"/>
      <c r="D36" s="66"/>
      <c r="E36" s="66"/>
      <c r="F36" s="66"/>
      <c r="G36" s="66"/>
      <c r="H36" s="66"/>
      <c r="I36" s="66"/>
      <c r="J36" s="66"/>
      <c r="K36" s="144"/>
      <c r="L36" s="66"/>
      <c r="M36" s="66"/>
      <c r="N36" s="66"/>
      <c r="O36" s="66"/>
      <c r="P36" s="66"/>
      <c r="Q36" s="66"/>
      <c r="R36" s="66"/>
      <c r="S36" s="66"/>
      <c r="T36" s="66"/>
      <c r="U36" s="66"/>
      <c r="V36" s="66"/>
      <c r="W36" s="66"/>
      <c r="X36" s="66"/>
      <c r="Y36" s="66"/>
      <c r="Z36" s="66"/>
      <c r="AA36" s="83"/>
      <c r="AB36" s="64"/>
    </row>
    <row r="37" spans="1:28" x14ac:dyDescent="0.25">
      <c r="A37" s="59"/>
      <c r="B37" s="66"/>
      <c r="C37" s="66"/>
      <c r="D37" s="66"/>
      <c r="E37" s="66"/>
      <c r="F37" s="66"/>
      <c r="G37" s="66"/>
      <c r="H37" s="66"/>
      <c r="I37" s="66"/>
      <c r="J37" s="66"/>
      <c r="K37" s="144"/>
      <c r="L37" s="66"/>
      <c r="M37" s="66"/>
      <c r="N37" s="66"/>
      <c r="O37" s="66"/>
      <c r="P37" s="66"/>
      <c r="Q37" s="66"/>
      <c r="R37" s="66"/>
      <c r="S37" s="66"/>
      <c r="T37" s="66"/>
      <c r="U37" s="66"/>
      <c r="V37" s="66"/>
      <c r="W37" s="66"/>
      <c r="X37" s="66"/>
      <c r="Y37" s="66"/>
      <c r="Z37" s="66"/>
      <c r="AA37" s="83"/>
      <c r="AB37" s="64"/>
    </row>
    <row r="38" spans="1:28" ht="13" x14ac:dyDescent="0.3">
      <c r="A38" s="59"/>
      <c r="B38" s="68"/>
      <c r="C38" s="68"/>
      <c r="D38" s="68"/>
      <c r="E38" s="68"/>
      <c r="F38" s="68"/>
      <c r="G38" s="68"/>
      <c r="H38" s="68"/>
      <c r="I38" s="68"/>
      <c r="J38" s="68"/>
      <c r="K38" s="145"/>
      <c r="L38" s="68"/>
      <c r="M38" s="68"/>
      <c r="N38" s="68"/>
      <c r="O38" s="66"/>
      <c r="P38" s="68"/>
      <c r="Q38" s="68"/>
      <c r="R38" s="68"/>
      <c r="S38" s="68"/>
      <c r="T38" s="68"/>
      <c r="U38" s="68"/>
      <c r="V38" s="68"/>
      <c r="W38" s="68"/>
      <c r="X38" s="68"/>
      <c r="Y38" s="68"/>
      <c r="Z38" s="68"/>
      <c r="AA38" s="83"/>
      <c r="AB38" s="64"/>
    </row>
    <row r="39" spans="1:28" ht="13" x14ac:dyDescent="0.3">
      <c r="A39" s="78"/>
      <c r="B39" s="66"/>
      <c r="C39" s="66"/>
      <c r="D39" s="66"/>
      <c r="E39" s="66"/>
      <c r="F39" s="66"/>
      <c r="G39" s="66"/>
      <c r="H39" s="66"/>
      <c r="I39" s="66"/>
      <c r="J39" s="66"/>
      <c r="K39" s="144"/>
      <c r="L39" s="66"/>
      <c r="M39" s="66"/>
      <c r="N39" s="75"/>
      <c r="O39" s="72"/>
      <c r="P39" s="66"/>
      <c r="Q39" s="66"/>
      <c r="R39" s="66"/>
      <c r="S39" s="66"/>
      <c r="T39" s="66"/>
      <c r="U39" s="66"/>
      <c r="V39" s="66"/>
      <c r="W39" s="66"/>
      <c r="X39" s="66"/>
      <c r="Y39" s="66"/>
      <c r="Z39" s="76"/>
      <c r="AA39" s="83"/>
      <c r="AB39" s="82"/>
    </row>
    <row r="40" spans="1:28" ht="13" x14ac:dyDescent="0.3">
      <c r="A40" s="65"/>
      <c r="B40" s="66"/>
      <c r="C40" s="66"/>
      <c r="D40" s="66"/>
      <c r="E40" s="66"/>
      <c r="F40" s="66"/>
      <c r="G40" s="66"/>
      <c r="H40" s="66"/>
      <c r="I40" s="66"/>
      <c r="J40" s="66"/>
      <c r="K40" s="144"/>
      <c r="L40" s="66"/>
      <c r="M40" s="66"/>
      <c r="N40" s="75"/>
      <c r="O40" s="72"/>
      <c r="P40" s="66"/>
      <c r="Q40" s="66"/>
      <c r="R40" s="66"/>
      <c r="S40" s="66"/>
      <c r="T40" s="66"/>
      <c r="U40" s="66"/>
      <c r="V40" s="66"/>
      <c r="W40" s="66"/>
      <c r="X40" s="66"/>
      <c r="Y40" s="66"/>
      <c r="Z40" s="76"/>
      <c r="AA40" s="83"/>
      <c r="AB40" s="82"/>
    </row>
    <row r="41" spans="1:28" ht="13" x14ac:dyDescent="0.3">
      <c r="A41" s="65"/>
      <c r="B41" s="66"/>
      <c r="C41" s="66"/>
      <c r="D41" s="66"/>
      <c r="E41" s="66"/>
      <c r="F41" s="66"/>
      <c r="G41" s="66"/>
      <c r="H41" s="66"/>
      <c r="I41" s="66"/>
      <c r="J41" s="66"/>
      <c r="K41" s="144"/>
      <c r="L41" s="66"/>
      <c r="M41" s="66"/>
      <c r="N41" s="75"/>
      <c r="O41" s="72"/>
      <c r="P41" s="66"/>
      <c r="Q41" s="66"/>
      <c r="R41" s="66"/>
      <c r="S41" s="66"/>
      <c r="T41" s="66"/>
      <c r="U41" s="66"/>
      <c r="V41" s="66"/>
      <c r="W41" s="66"/>
      <c r="X41" s="66"/>
      <c r="Y41" s="66"/>
      <c r="Z41" s="76"/>
      <c r="AA41" s="83"/>
      <c r="AB41" s="82"/>
    </row>
    <row r="42" spans="1:28" ht="13" x14ac:dyDescent="0.3">
      <c r="A42" s="65"/>
      <c r="B42" s="66"/>
      <c r="C42" s="66"/>
      <c r="D42" s="66"/>
      <c r="E42" s="66"/>
      <c r="F42" s="66"/>
      <c r="G42" s="66"/>
      <c r="H42" s="66"/>
      <c r="I42" s="66"/>
      <c r="J42" s="66"/>
      <c r="K42" s="144"/>
      <c r="L42" s="66"/>
      <c r="M42" s="66"/>
      <c r="N42" s="75"/>
      <c r="O42" s="72"/>
      <c r="P42" s="66"/>
      <c r="Q42" s="66"/>
      <c r="R42" s="66"/>
      <c r="S42" s="66"/>
      <c r="T42" s="66"/>
      <c r="U42" s="66"/>
      <c r="V42" s="66"/>
      <c r="W42" s="66"/>
      <c r="X42" s="66"/>
      <c r="Y42" s="66"/>
      <c r="Z42" s="76"/>
      <c r="AA42" s="83"/>
      <c r="AB42" s="82"/>
    </row>
    <row r="43" spans="1:28" ht="13" x14ac:dyDescent="0.3">
      <c r="A43" s="65"/>
      <c r="B43" s="66"/>
      <c r="C43" s="66"/>
      <c r="D43" s="66"/>
      <c r="E43" s="66"/>
      <c r="F43" s="66"/>
      <c r="G43" s="66"/>
      <c r="H43" s="66"/>
      <c r="I43" s="66"/>
      <c r="J43" s="66"/>
      <c r="K43" s="144"/>
      <c r="L43" s="66"/>
      <c r="M43" s="66"/>
      <c r="N43" s="75"/>
      <c r="O43" s="72"/>
      <c r="P43" s="66"/>
      <c r="Q43" s="66"/>
      <c r="R43" s="66"/>
      <c r="S43" s="66"/>
      <c r="T43" s="66"/>
      <c r="U43" s="66"/>
      <c r="V43" s="66"/>
      <c r="W43" s="66"/>
      <c r="X43" s="66"/>
      <c r="Y43" s="66"/>
      <c r="Z43" s="76"/>
      <c r="AA43" s="83"/>
      <c r="AB43" s="82"/>
    </row>
    <row r="44" spans="1:28" ht="13" x14ac:dyDescent="0.3">
      <c r="A44" s="65"/>
      <c r="B44" s="66"/>
      <c r="C44" s="66"/>
      <c r="D44" s="66"/>
      <c r="E44" s="66"/>
      <c r="F44" s="66"/>
      <c r="G44" s="66"/>
      <c r="H44" s="66"/>
      <c r="I44" s="66"/>
      <c r="J44" s="66"/>
      <c r="K44" s="144"/>
      <c r="L44" s="66"/>
      <c r="M44" s="66"/>
      <c r="N44" s="75"/>
      <c r="O44" s="72"/>
      <c r="P44" s="66"/>
      <c r="Q44" s="66"/>
      <c r="R44" s="66"/>
      <c r="S44" s="66"/>
      <c r="T44" s="66"/>
      <c r="U44" s="66"/>
      <c r="V44" s="66"/>
      <c r="W44" s="66"/>
      <c r="X44" s="66"/>
      <c r="Y44" s="66"/>
      <c r="Z44" s="76"/>
      <c r="AA44" s="83"/>
      <c r="AB44" s="82"/>
    </row>
    <row r="45" spans="1:28" ht="13" x14ac:dyDescent="0.3">
      <c r="A45" s="65"/>
      <c r="B45" s="66"/>
      <c r="C45" s="66"/>
      <c r="D45" s="66"/>
      <c r="E45" s="66"/>
      <c r="F45" s="66"/>
      <c r="G45" s="66"/>
      <c r="H45" s="66"/>
      <c r="I45" s="66"/>
      <c r="J45" s="66"/>
      <c r="K45" s="144"/>
      <c r="L45" s="66"/>
      <c r="M45" s="66"/>
      <c r="N45" s="75"/>
      <c r="O45" s="72"/>
      <c r="P45" s="66"/>
      <c r="Q45" s="66"/>
      <c r="R45" s="66"/>
      <c r="S45" s="66"/>
      <c r="T45" s="66"/>
      <c r="U45" s="66"/>
      <c r="V45" s="66"/>
      <c r="W45" s="66"/>
      <c r="X45" s="66"/>
      <c r="Y45" s="66"/>
      <c r="Z45" s="76"/>
      <c r="AA45" s="83"/>
      <c r="AB45" s="82"/>
    </row>
    <row r="46" spans="1:28" ht="13" x14ac:dyDescent="0.3">
      <c r="A46" s="65"/>
      <c r="B46" s="66"/>
      <c r="C46" s="66"/>
      <c r="D46" s="66"/>
      <c r="E46" s="66"/>
      <c r="F46" s="66"/>
      <c r="G46" s="66"/>
      <c r="H46" s="66"/>
      <c r="I46" s="66"/>
      <c r="J46" s="66"/>
      <c r="K46" s="144"/>
      <c r="L46" s="66"/>
      <c r="M46" s="66"/>
      <c r="N46" s="75"/>
      <c r="O46" s="72"/>
      <c r="P46" s="66"/>
      <c r="Q46" s="66"/>
      <c r="R46" s="66"/>
      <c r="S46" s="66"/>
      <c r="T46" s="66"/>
      <c r="U46" s="66"/>
      <c r="V46" s="66"/>
      <c r="W46" s="66"/>
      <c r="X46" s="66"/>
      <c r="Y46" s="66"/>
      <c r="Z46" s="76"/>
      <c r="AA46" s="83"/>
      <c r="AB46" s="82"/>
    </row>
    <row r="47" spans="1:28" ht="13" x14ac:dyDescent="0.3">
      <c r="A47" s="65"/>
      <c r="B47" s="66"/>
      <c r="C47" s="66"/>
      <c r="D47" s="66"/>
      <c r="E47" s="66"/>
      <c r="F47" s="66"/>
      <c r="G47" s="66"/>
      <c r="H47" s="66"/>
      <c r="I47" s="66"/>
      <c r="J47" s="66"/>
      <c r="K47" s="144"/>
      <c r="L47" s="66"/>
      <c r="M47" s="66"/>
      <c r="N47" s="75"/>
      <c r="O47" s="72"/>
      <c r="P47" s="66"/>
      <c r="Q47" s="66"/>
      <c r="R47" s="66"/>
      <c r="S47" s="66"/>
      <c r="T47" s="66"/>
      <c r="U47" s="66"/>
      <c r="V47" s="66"/>
      <c r="W47" s="66"/>
      <c r="X47" s="66"/>
      <c r="Y47" s="66"/>
      <c r="Z47" s="76"/>
      <c r="AA47" s="83"/>
      <c r="AB47" s="82"/>
    </row>
    <row r="48" spans="1:28" ht="13" x14ac:dyDescent="0.3">
      <c r="A48" s="65"/>
      <c r="B48" s="66"/>
      <c r="C48" s="66"/>
      <c r="D48" s="66"/>
      <c r="E48" s="66"/>
      <c r="F48" s="66"/>
      <c r="G48" s="66"/>
      <c r="H48" s="66"/>
      <c r="I48" s="66"/>
      <c r="J48" s="66"/>
      <c r="K48" s="144"/>
      <c r="L48" s="66"/>
      <c r="M48" s="66"/>
      <c r="N48" s="75"/>
      <c r="O48" s="72"/>
      <c r="P48" s="66"/>
      <c r="Q48" s="66"/>
      <c r="R48" s="66"/>
      <c r="S48" s="66"/>
      <c r="T48" s="66"/>
      <c r="U48" s="66"/>
      <c r="V48" s="66"/>
      <c r="W48" s="66"/>
      <c r="X48" s="66"/>
      <c r="Y48" s="66"/>
      <c r="Z48" s="76"/>
      <c r="AA48" s="83"/>
      <c r="AB48" s="82"/>
    </row>
    <row r="49" spans="1:28" ht="13" x14ac:dyDescent="0.3">
      <c r="A49" s="65"/>
      <c r="B49" s="66"/>
      <c r="C49" s="66"/>
      <c r="D49" s="66"/>
      <c r="E49" s="66"/>
      <c r="F49" s="66"/>
      <c r="G49" s="66"/>
      <c r="H49" s="66"/>
      <c r="I49" s="66"/>
      <c r="J49" s="66"/>
      <c r="K49" s="144"/>
      <c r="L49" s="66"/>
      <c r="M49" s="66"/>
      <c r="N49" s="75"/>
      <c r="O49" s="72"/>
      <c r="P49" s="66"/>
      <c r="Q49" s="66"/>
      <c r="R49" s="66"/>
      <c r="S49" s="66"/>
      <c r="T49" s="66"/>
      <c r="U49" s="66"/>
      <c r="V49" s="66"/>
      <c r="W49" s="66"/>
      <c r="X49" s="66"/>
      <c r="Y49" s="66"/>
      <c r="Z49" s="76"/>
      <c r="AA49" s="83"/>
      <c r="AB49" s="82"/>
    </row>
    <row r="50" spans="1:28" ht="13" x14ac:dyDescent="0.3">
      <c r="A50" s="65"/>
      <c r="B50" s="66"/>
      <c r="C50" s="66"/>
      <c r="D50" s="66"/>
      <c r="E50" s="66"/>
      <c r="F50" s="66"/>
      <c r="G50" s="66"/>
      <c r="H50" s="66"/>
      <c r="I50" s="66"/>
      <c r="J50" s="66"/>
      <c r="K50" s="144"/>
      <c r="L50" s="66"/>
      <c r="M50" s="66"/>
      <c r="N50" s="75"/>
      <c r="O50" s="72"/>
      <c r="P50" s="66"/>
      <c r="Q50" s="66"/>
      <c r="R50" s="66"/>
      <c r="S50" s="66"/>
      <c r="T50" s="66"/>
      <c r="U50" s="66"/>
      <c r="V50" s="66"/>
      <c r="W50" s="66"/>
      <c r="X50" s="66"/>
      <c r="Y50" s="66"/>
      <c r="Z50" s="76"/>
      <c r="AA50" s="83"/>
      <c r="AB50" s="82"/>
    </row>
    <row r="51" spans="1:28" ht="13" x14ac:dyDescent="0.3">
      <c r="A51" s="65"/>
      <c r="B51" s="66"/>
      <c r="C51" s="66"/>
      <c r="D51" s="66"/>
      <c r="E51" s="66"/>
      <c r="F51" s="66"/>
      <c r="G51" s="66"/>
      <c r="H51" s="66"/>
      <c r="I51" s="66"/>
      <c r="J51" s="66"/>
      <c r="K51" s="144"/>
      <c r="L51" s="66"/>
      <c r="M51" s="66"/>
      <c r="N51" s="75"/>
      <c r="O51" s="72"/>
      <c r="P51" s="66"/>
      <c r="Q51" s="66"/>
      <c r="R51" s="66"/>
      <c r="S51" s="66"/>
      <c r="T51" s="66"/>
      <c r="U51" s="66"/>
      <c r="V51" s="66"/>
      <c r="W51" s="66"/>
      <c r="X51" s="66"/>
      <c r="Y51" s="66"/>
      <c r="Z51" s="76"/>
      <c r="AA51" s="83"/>
      <c r="AB51" s="82"/>
    </row>
    <row r="52" spans="1:28" ht="13" x14ac:dyDescent="0.3">
      <c r="A52" s="65"/>
      <c r="B52" s="74"/>
      <c r="C52" s="74"/>
      <c r="D52" s="74"/>
      <c r="E52" s="74"/>
      <c r="F52" s="74"/>
      <c r="G52" s="74"/>
      <c r="H52" s="74"/>
      <c r="I52" s="74"/>
      <c r="J52" s="74"/>
      <c r="K52" s="144"/>
      <c r="L52" s="74"/>
      <c r="M52" s="74"/>
      <c r="N52" s="76"/>
      <c r="O52" s="72"/>
      <c r="P52" s="74"/>
      <c r="Q52" s="74"/>
      <c r="R52" s="74"/>
      <c r="S52" s="74"/>
      <c r="T52" s="74"/>
      <c r="U52" s="74"/>
      <c r="V52" s="74"/>
      <c r="W52" s="74"/>
      <c r="X52" s="74"/>
      <c r="Y52" s="74"/>
      <c r="Z52" s="76"/>
      <c r="AA52" s="83"/>
      <c r="AB52" s="64"/>
    </row>
    <row r="53" spans="1:28" ht="13" x14ac:dyDescent="0.3">
      <c r="A53" s="65"/>
      <c r="B53" s="66"/>
      <c r="C53" s="66"/>
      <c r="D53" s="66"/>
      <c r="E53" s="66"/>
      <c r="F53" s="66"/>
      <c r="G53" s="66"/>
      <c r="H53" s="66"/>
      <c r="I53" s="66"/>
      <c r="J53" s="66"/>
      <c r="K53" s="144"/>
      <c r="L53" s="66"/>
      <c r="M53" s="66"/>
      <c r="N53" s="75"/>
      <c r="O53" s="72"/>
      <c r="P53" s="66"/>
      <c r="Q53" s="66"/>
      <c r="R53" s="66"/>
      <c r="S53" s="66"/>
      <c r="T53" s="66"/>
      <c r="U53" s="66"/>
      <c r="V53" s="66"/>
      <c r="W53" s="66"/>
      <c r="X53" s="66"/>
      <c r="Y53" s="66"/>
      <c r="Z53" s="76"/>
      <c r="AA53" s="83"/>
      <c r="AB53" s="82"/>
    </row>
    <row r="54" spans="1:28" ht="13" x14ac:dyDescent="0.3">
      <c r="A54" s="65"/>
      <c r="B54" s="66"/>
      <c r="C54" s="66"/>
      <c r="D54" s="66"/>
      <c r="E54" s="66"/>
      <c r="F54" s="66"/>
      <c r="G54" s="66"/>
      <c r="H54" s="66"/>
      <c r="I54" s="66"/>
      <c r="J54" s="66"/>
      <c r="K54" s="144"/>
      <c r="L54" s="66"/>
      <c r="M54" s="66"/>
      <c r="N54" s="75"/>
      <c r="O54" s="72"/>
      <c r="P54" s="66"/>
      <c r="Q54" s="66"/>
      <c r="R54" s="66"/>
      <c r="S54" s="66"/>
      <c r="T54" s="66"/>
      <c r="U54" s="66"/>
      <c r="V54" s="66"/>
      <c r="W54" s="66"/>
      <c r="X54" s="66"/>
      <c r="Y54" s="66"/>
      <c r="Z54" s="76"/>
      <c r="AA54" s="83"/>
      <c r="AB54" s="82"/>
    </row>
    <row r="55" spans="1:28" ht="13" x14ac:dyDescent="0.3">
      <c r="A55" s="65"/>
      <c r="B55" s="83"/>
      <c r="C55" s="83"/>
      <c r="D55" s="83"/>
      <c r="E55" s="83"/>
      <c r="F55" s="83"/>
      <c r="G55" s="83"/>
      <c r="H55" s="83"/>
      <c r="I55" s="83"/>
      <c r="J55" s="83"/>
      <c r="K55" s="146"/>
      <c r="L55" s="83"/>
      <c r="M55" s="83"/>
      <c r="N55" s="79"/>
      <c r="O55" s="83"/>
      <c r="P55" s="83"/>
      <c r="Q55" s="83"/>
      <c r="R55" s="83"/>
      <c r="S55" s="83"/>
      <c r="T55" s="83"/>
      <c r="U55" s="83"/>
      <c r="V55" s="83"/>
      <c r="W55" s="83"/>
      <c r="X55" s="83"/>
      <c r="Y55" s="83"/>
      <c r="Z55" s="80"/>
      <c r="AA55" s="83"/>
      <c r="AB55" s="64"/>
    </row>
    <row r="56" spans="1:28" x14ac:dyDescent="0.25">
      <c r="A56" s="70"/>
      <c r="B56" s="83"/>
      <c r="C56" s="83"/>
      <c r="D56" s="83"/>
      <c r="E56" s="83"/>
      <c r="F56" s="83"/>
      <c r="G56" s="83"/>
      <c r="H56" s="83"/>
      <c r="I56" s="83"/>
      <c r="J56" s="83"/>
      <c r="K56" s="146"/>
      <c r="L56" s="83"/>
      <c r="M56" s="83"/>
      <c r="N56" s="83"/>
      <c r="O56" s="83"/>
      <c r="P56" s="83"/>
      <c r="Q56" s="83"/>
      <c r="R56" s="83"/>
      <c r="S56" s="83"/>
      <c r="T56" s="83"/>
      <c r="U56" s="83"/>
      <c r="V56" s="83"/>
      <c r="W56" s="83"/>
      <c r="X56" s="83"/>
      <c r="Y56" s="83"/>
      <c r="Z56" s="83"/>
      <c r="AA56" s="83"/>
      <c r="AB56" s="64"/>
    </row>
    <row r="57" spans="1:28" x14ac:dyDescent="0.25">
      <c r="A57" s="70"/>
      <c r="B57" s="64"/>
      <c r="C57" s="64"/>
      <c r="D57" s="64"/>
      <c r="E57" s="64"/>
      <c r="F57" s="64"/>
      <c r="G57" s="64"/>
      <c r="H57" s="64"/>
      <c r="I57" s="64"/>
      <c r="J57" s="64"/>
      <c r="K57" s="147"/>
      <c r="L57" s="64"/>
      <c r="M57" s="64"/>
      <c r="N57" s="83"/>
      <c r="O57" s="64"/>
      <c r="P57" s="64"/>
      <c r="Q57" s="64"/>
      <c r="R57" s="64"/>
      <c r="S57" s="64"/>
      <c r="T57" s="64"/>
      <c r="U57" s="64"/>
      <c r="V57" s="64"/>
      <c r="W57" s="64"/>
      <c r="X57" s="64"/>
      <c r="Y57" s="64"/>
      <c r="Z57" s="64"/>
      <c r="AA57" s="64"/>
      <c r="AB57" s="64"/>
    </row>
    <row r="58" spans="1:28" x14ac:dyDescent="0.25">
      <c r="A58" s="70"/>
      <c r="B58" s="71"/>
      <c r="C58" s="71"/>
      <c r="D58" s="71"/>
      <c r="E58" s="71"/>
      <c r="F58" s="71"/>
      <c r="G58" s="71"/>
      <c r="H58" s="71"/>
      <c r="I58" s="71"/>
      <c r="J58" s="71"/>
      <c r="K58" s="148"/>
      <c r="L58" s="71"/>
      <c r="M58" s="71"/>
      <c r="N58" s="77"/>
      <c r="O58" s="71"/>
      <c r="P58" s="71"/>
      <c r="Q58" s="71"/>
      <c r="R58" s="71"/>
      <c r="S58" s="71"/>
      <c r="T58" s="71"/>
      <c r="U58" s="71"/>
      <c r="V58" s="71"/>
      <c r="W58" s="71"/>
      <c r="X58" s="71"/>
      <c r="Y58" s="71"/>
      <c r="Z58" s="71"/>
      <c r="AA58" s="71"/>
      <c r="AB58" s="71"/>
    </row>
    <row r="59" spans="1:28" x14ac:dyDescent="0.25">
      <c r="A59" s="70"/>
      <c r="B59" s="71"/>
      <c r="C59" s="71"/>
      <c r="D59" s="71"/>
      <c r="E59" s="71"/>
      <c r="F59" s="71"/>
      <c r="G59" s="71"/>
      <c r="H59" s="71"/>
      <c r="I59" s="71"/>
      <c r="J59" s="71"/>
      <c r="K59" s="148"/>
      <c r="L59" s="71"/>
      <c r="M59" s="71"/>
      <c r="N59" s="77"/>
      <c r="O59" s="71"/>
      <c r="P59" s="71"/>
      <c r="Q59" s="71"/>
      <c r="R59" s="71"/>
      <c r="S59" s="71"/>
      <c r="T59" s="71"/>
      <c r="U59" s="71"/>
      <c r="V59" s="71"/>
      <c r="W59" s="71"/>
      <c r="X59" s="71"/>
      <c r="Y59" s="71"/>
      <c r="Z59" s="71"/>
      <c r="AA59" s="71"/>
      <c r="AB59" s="71"/>
    </row>
    <row r="60" spans="1:28" x14ac:dyDescent="0.25">
      <c r="A60" s="70"/>
      <c r="B60" s="71"/>
      <c r="C60" s="71"/>
      <c r="D60" s="71"/>
      <c r="E60" s="71"/>
      <c r="F60" s="71"/>
      <c r="G60" s="71"/>
      <c r="H60" s="71"/>
      <c r="I60" s="71"/>
      <c r="J60" s="71"/>
      <c r="K60" s="148"/>
      <c r="L60" s="71"/>
      <c r="M60" s="71"/>
      <c r="N60" s="77"/>
      <c r="O60" s="71"/>
      <c r="P60" s="71"/>
      <c r="Q60" s="71"/>
      <c r="R60" s="71"/>
      <c r="S60" s="71"/>
      <c r="T60" s="71"/>
      <c r="U60" s="71"/>
      <c r="V60" s="71"/>
      <c r="W60" s="71"/>
      <c r="X60" s="71"/>
      <c r="Y60" s="71"/>
      <c r="Z60" s="71"/>
      <c r="AA60" s="71"/>
      <c r="AB60" s="71"/>
    </row>
    <row r="61" spans="1:28" x14ac:dyDescent="0.25">
      <c r="A61" s="70"/>
      <c r="B61" s="71"/>
      <c r="C61" s="71"/>
      <c r="D61" s="71"/>
      <c r="E61" s="71"/>
      <c r="F61" s="71"/>
      <c r="G61" s="71"/>
      <c r="H61" s="71"/>
      <c r="I61" s="71"/>
      <c r="J61" s="71"/>
      <c r="K61" s="148"/>
      <c r="L61" s="71"/>
      <c r="M61" s="71"/>
      <c r="N61" s="77"/>
      <c r="O61" s="71"/>
      <c r="P61" s="71"/>
      <c r="Q61" s="71"/>
      <c r="R61" s="71"/>
      <c r="S61" s="71"/>
      <c r="T61" s="71"/>
      <c r="U61" s="71"/>
      <c r="V61" s="71"/>
      <c r="W61" s="71"/>
      <c r="X61" s="71"/>
      <c r="Y61" s="71"/>
      <c r="Z61" s="71"/>
      <c r="AA61" s="71"/>
      <c r="AB61" s="71"/>
    </row>
    <row r="62" spans="1:28" x14ac:dyDescent="0.25">
      <c r="A62" s="70"/>
      <c r="B62" s="70"/>
      <c r="C62" s="70"/>
      <c r="D62" s="70"/>
      <c r="E62" s="70"/>
      <c r="F62" s="70"/>
      <c r="G62" s="70"/>
      <c r="H62" s="70"/>
      <c r="I62" s="70"/>
      <c r="J62" s="70"/>
      <c r="K62" s="149"/>
      <c r="L62" s="71"/>
      <c r="M62" s="71"/>
      <c r="N62" s="77"/>
      <c r="O62" s="71"/>
      <c r="P62" s="73"/>
      <c r="Q62" s="73"/>
      <c r="R62" s="73"/>
      <c r="S62" s="73"/>
      <c r="T62" s="73"/>
      <c r="U62" s="73"/>
      <c r="V62" s="73"/>
      <c r="W62" s="73"/>
      <c r="X62" s="73"/>
      <c r="Y62" s="73"/>
      <c r="Z62" s="70"/>
      <c r="AA62" s="70"/>
      <c r="AB62" s="71"/>
    </row>
    <row r="63" spans="1:28" x14ac:dyDescent="0.25">
      <c r="A63" s="70"/>
      <c r="B63" s="70"/>
      <c r="C63" s="70"/>
      <c r="D63" s="70"/>
      <c r="E63" s="70"/>
      <c r="F63" s="70"/>
      <c r="G63" s="70"/>
      <c r="H63" s="70"/>
      <c r="I63" s="70"/>
      <c r="J63" s="70"/>
      <c r="K63" s="149"/>
      <c r="L63" s="71"/>
      <c r="M63" s="71"/>
      <c r="N63" s="77"/>
      <c r="O63" s="71"/>
      <c r="P63" s="73"/>
      <c r="Q63" s="73"/>
      <c r="R63" s="73"/>
      <c r="S63" s="73"/>
      <c r="T63" s="73"/>
      <c r="U63" s="73"/>
      <c r="V63" s="73"/>
      <c r="W63" s="73"/>
      <c r="X63" s="73"/>
      <c r="Y63" s="73"/>
      <c r="Z63" s="70"/>
      <c r="AA63" s="70"/>
      <c r="AB63" s="71"/>
    </row>
    <row r="64" spans="1:28" x14ac:dyDescent="0.25">
      <c r="A64" s="70"/>
      <c r="N64" s="34"/>
    </row>
    <row r="65" spans="14:14" x14ac:dyDescent="0.25">
      <c r="N65" s="34"/>
    </row>
    <row r="66" spans="14:14" x14ac:dyDescent="0.25">
      <c r="N66" s="34"/>
    </row>
    <row r="67" spans="14:14" x14ac:dyDescent="0.25">
      <c r="N67" s="34"/>
    </row>
    <row r="68" spans="14:14" x14ac:dyDescent="0.25">
      <c r="N68" s="34"/>
    </row>
    <row r="69" spans="14:14" x14ac:dyDescent="0.25">
      <c r="N69" s="34"/>
    </row>
    <row r="70" spans="14:14" x14ac:dyDescent="0.25">
      <c r="N70" s="34"/>
    </row>
    <row r="71" spans="14:14" x14ac:dyDescent="0.25">
      <c r="N71" s="34"/>
    </row>
    <row r="72" spans="14:14" x14ac:dyDescent="0.25">
      <c r="N72" s="34"/>
    </row>
    <row r="73" spans="14:14" x14ac:dyDescent="0.25">
      <c r="N73" s="34"/>
    </row>
    <row r="74" spans="14:14" x14ac:dyDescent="0.25">
      <c r="N74" s="34"/>
    </row>
    <row r="75" spans="14:14" x14ac:dyDescent="0.25">
      <c r="N75" s="34"/>
    </row>
    <row r="76" spans="14:14" x14ac:dyDescent="0.25">
      <c r="N76" s="34"/>
    </row>
    <row r="77" spans="14:14" x14ac:dyDescent="0.25">
      <c r="N77" s="34"/>
    </row>
    <row r="78" spans="14:14" x14ac:dyDescent="0.25">
      <c r="N78" s="34"/>
    </row>
    <row r="79" spans="14:14" x14ac:dyDescent="0.25">
      <c r="N79" s="34"/>
    </row>
    <row r="80" spans="14:14" x14ac:dyDescent="0.25">
      <c r="N80" s="34"/>
    </row>
    <row r="81" spans="14:14" x14ac:dyDescent="0.25">
      <c r="N81" s="34"/>
    </row>
    <row r="82" spans="14:14" x14ac:dyDescent="0.25">
      <c r="N82" s="34"/>
    </row>
    <row r="83" spans="14:14" x14ac:dyDescent="0.25">
      <c r="N83" s="34"/>
    </row>
    <row r="84" spans="14:14" x14ac:dyDescent="0.25">
      <c r="N84" s="34"/>
    </row>
    <row r="85" spans="14:14" x14ac:dyDescent="0.25">
      <c r="N85" s="34"/>
    </row>
    <row r="86" spans="14:14" x14ac:dyDescent="0.25">
      <c r="N86" s="34"/>
    </row>
    <row r="87" spans="14:14" x14ac:dyDescent="0.25">
      <c r="N87" s="34"/>
    </row>
    <row r="88" spans="14:14" x14ac:dyDescent="0.25">
      <c r="N88" s="34"/>
    </row>
    <row r="89" spans="14:14" x14ac:dyDescent="0.25">
      <c r="N89" s="34"/>
    </row>
    <row r="90" spans="14:14" x14ac:dyDescent="0.25">
      <c r="N90" s="34"/>
    </row>
    <row r="91" spans="14:14" x14ac:dyDescent="0.25">
      <c r="N91" s="34"/>
    </row>
    <row r="92" spans="14:14" x14ac:dyDescent="0.25">
      <c r="N92" s="34"/>
    </row>
    <row r="93" spans="14:14" x14ac:dyDescent="0.25">
      <c r="N93" s="34"/>
    </row>
    <row r="94" spans="14:14" x14ac:dyDescent="0.25">
      <c r="N94" s="34"/>
    </row>
    <row r="95" spans="14:14" x14ac:dyDescent="0.25">
      <c r="N95" s="34"/>
    </row>
    <row r="96" spans="14:14" x14ac:dyDescent="0.25">
      <c r="N96" s="34"/>
    </row>
    <row r="97" spans="14:14" x14ac:dyDescent="0.25">
      <c r="N97" s="34"/>
    </row>
  </sheetData>
  <phoneticPr fontId="31" type="noConversion"/>
  <pageMargins left="0.75" right="0.75" top="1" bottom="1" header="0.5" footer="0.5"/>
  <pageSetup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zoomScale="90" zoomScaleNormal="90" workbookViewId="0">
      <selection activeCell="C6" sqref="C6"/>
    </sheetView>
  </sheetViews>
  <sheetFormatPr defaultColWidth="8.81640625" defaultRowHeight="12.5" x14ac:dyDescent="0.25"/>
  <cols>
    <col min="2" max="2" width="56.1796875" customWidth="1"/>
    <col min="3" max="3" width="17.81640625" bestFit="1" customWidth="1"/>
    <col min="4" max="4" width="14.81640625" style="102" customWidth="1"/>
    <col min="5" max="5" width="8.81640625" style="3"/>
  </cols>
  <sheetData>
    <row r="1" spans="1:6" ht="18" x14ac:dyDescent="0.4">
      <c r="B1" s="231" t="s">
        <v>227</v>
      </c>
      <c r="C1" s="6"/>
      <c r="D1" s="132"/>
      <c r="E1" s="16"/>
      <c r="F1" s="6"/>
    </row>
    <row r="2" spans="1:6" ht="13" x14ac:dyDescent="0.3">
      <c r="B2" s="123"/>
      <c r="C2" s="9"/>
      <c r="D2" s="132"/>
      <c r="E2" s="143"/>
      <c r="F2" s="6"/>
    </row>
    <row r="3" spans="1:6" ht="13" x14ac:dyDescent="0.3">
      <c r="B3" s="10"/>
      <c r="C3" s="13" t="s">
        <v>17</v>
      </c>
      <c r="D3" s="42" t="s">
        <v>14</v>
      </c>
      <c r="E3" s="143"/>
      <c r="F3" s="143"/>
    </row>
    <row r="4" spans="1:6" ht="13" x14ac:dyDescent="0.3">
      <c r="A4" s="246">
        <v>11</v>
      </c>
      <c r="B4" s="246" t="s">
        <v>168</v>
      </c>
      <c r="C4" s="423" t="s">
        <v>292</v>
      </c>
      <c r="D4" s="424">
        <f>IF(C4="fail",0,50)</f>
        <v>0</v>
      </c>
      <c r="E4" s="143"/>
      <c r="F4" s="6"/>
    </row>
    <row r="5" spans="1:6" ht="13" x14ac:dyDescent="0.3">
      <c r="A5" s="246">
        <v>12</v>
      </c>
      <c r="B5" s="246" t="s">
        <v>171</v>
      </c>
      <c r="C5" s="423" t="s">
        <v>292</v>
      </c>
      <c r="D5" s="424">
        <f t="shared" ref="D5:D17" si="0">IF(C5="fail",0,50)</f>
        <v>0</v>
      </c>
      <c r="E5" s="143"/>
      <c r="F5" s="6"/>
    </row>
    <row r="6" spans="1:6" ht="13" x14ac:dyDescent="0.3">
      <c r="A6" s="246">
        <v>13</v>
      </c>
      <c r="B6" s="246" t="s">
        <v>173</v>
      </c>
      <c r="C6" s="423" t="s">
        <v>291</v>
      </c>
      <c r="D6" s="424">
        <f t="shared" si="0"/>
        <v>50</v>
      </c>
      <c r="E6" s="143"/>
      <c r="F6" s="6"/>
    </row>
    <row r="7" spans="1:6" s="122" customFormat="1" ht="13" x14ac:dyDescent="0.3">
      <c r="A7" s="246">
        <v>14</v>
      </c>
      <c r="B7" s="246" t="s">
        <v>198</v>
      </c>
      <c r="C7" s="423" t="s">
        <v>292</v>
      </c>
      <c r="D7" s="424">
        <f t="shared" si="0"/>
        <v>0</v>
      </c>
      <c r="E7" s="126"/>
      <c r="F7" s="123"/>
    </row>
    <row r="8" spans="1:6" s="135" customFormat="1" ht="13" x14ac:dyDescent="0.3">
      <c r="A8" s="246">
        <v>15</v>
      </c>
      <c r="B8" s="246" t="s">
        <v>164</v>
      </c>
      <c r="C8" s="423" t="s">
        <v>292</v>
      </c>
      <c r="D8" s="424">
        <f t="shared" si="0"/>
        <v>0</v>
      </c>
      <c r="E8" s="126"/>
      <c r="F8" s="134"/>
    </row>
    <row r="9" spans="1:6" ht="13" x14ac:dyDescent="0.3">
      <c r="A9" s="246">
        <v>16</v>
      </c>
      <c r="B9" s="246" t="s">
        <v>208</v>
      </c>
      <c r="C9" s="423" t="s">
        <v>292</v>
      </c>
      <c r="D9" s="424">
        <f t="shared" si="0"/>
        <v>0</v>
      </c>
      <c r="E9" s="16"/>
      <c r="F9" s="6"/>
    </row>
    <row r="10" spans="1:6" ht="13" x14ac:dyDescent="0.3">
      <c r="A10" s="246">
        <v>17</v>
      </c>
      <c r="B10" s="246" t="s">
        <v>167</v>
      </c>
      <c r="C10" s="423" t="s">
        <v>291</v>
      </c>
      <c r="D10" s="424">
        <f t="shared" si="0"/>
        <v>50</v>
      </c>
      <c r="E10" s="16"/>
      <c r="F10" s="6"/>
    </row>
    <row r="11" spans="1:6" ht="13" x14ac:dyDescent="0.3">
      <c r="A11" s="246">
        <v>18</v>
      </c>
      <c r="B11" s="246" t="s">
        <v>209</v>
      </c>
      <c r="C11" s="423" t="s">
        <v>292</v>
      </c>
      <c r="D11" s="424">
        <f t="shared" si="0"/>
        <v>0</v>
      </c>
      <c r="E11" s="16"/>
      <c r="F11" s="6"/>
    </row>
    <row r="12" spans="1:6" ht="13" x14ac:dyDescent="0.3">
      <c r="A12" s="246">
        <v>19</v>
      </c>
      <c r="B12" s="246" t="s">
        <v>170</v>
      </c>
      <c r="C12" s="423" t="s">
        <v>292</v>
      </c>
      <c r="D12" s="424">
        <f t="shared" si="0"/>
        <v>0</v>
      </c>
      <c r="E12" s="16"/>
      <c r="F12" s="6"/>
    </row>
    <row r="13" spans="1:6" s="93" customFormat="1" ht="13" x14ac:dyDescent="0.3">
      <c r="A13" s="246">
        <v>20</v>
      </c>
      <c r="B13" s="246" t="s">
        <v>166</v>
      </c>
      <c r="C13" s="423" t="s">
        <v>291</v>
      </c>
      <c r="D13" s="424">
        <f t="shared" si="0"/>
        <v>50</v>
      </c>
      <c r="E13" s="94"/>
      <c r="F13" s="92"/>
    </row>
    <row r="14" spans="1:6" s="93" customFormat="1" ht="14.5" x14ac:dyDescent="0.35">
      <c r="A14" s="246">
        <v>21</v>
      </c>
      <c r="B14" s="246" t="s">
        <v>165</v>
      </c>
      <c r="C14" s="423" t="s">
        <v>292</v>
      </c>
      <c r="D14" s="424">
        <f t="shared" si="0"/>
        <v>0</v>
      </c>
      <c r="E14" s="195"/>
      <c r="F14" s="92"/>
    </row>
    <row r="15" spans="1:6" s="93" customFormat="1" ht="13" x14ac:dyDescent="0.3">
      <c r="A15" s="246">
        <v>22</v>
      </c>
      <c r="B15" s="246" t="s">
        <v>172</v>
      </c>
      <c r="C15" s="423" t="s">
        <v>292</v>
      </c>
      <c r="D15" s="424">
        <f t="shared" si="0"/>
        <v>0</v>
      </c>
      <c r="E15" s="94"/>
      <c r="F15" s="92"/>
    </row>
    <row r="16" spans="1:6" ht="13" x14ac:dyDescent="0.3">
      <c r="A16" s="246">
        <v>23</v>
      </c>
      <c r="B16" s="246" t="s">
        <v>210</v>
      </c>
      <c r="C16" s="423" t="s">
        <v>292</v>
      </c>
      <c r="D16" s="424">
        <f t="shared" si="0"/>
        <v>0</v>
      </c>
    </row>
    <row r="17" spans="1:4" ht="13" x14ac:dyDescent="0.3">
      <c r="A17" s="246">
        <v>26</v>
      </c>
      <c r="B17" s="246" t="s">
        <v>169</v>
      </c>
      <c r="C17" s="423" t="s">
        <v>292</v>
      </c>
      <c r="D17" s="424">
        <f t="shared" si="0"/>
        <v>0</v>
      </c>
    </row>
  </sheetData>
  <phoneticPr fontId="31" type="noConversion"/>
  <printOptions gridLines="1"/>
  <pageMargins left="0.75" right="0.75" top="1" bottom="1" header="0.5" footer="0.5"/>
  <pageSetup orientation="landscape"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4"/>
  <sheetViews>
    <sheetView workbookViewId="0">
      <selection activeCell="J6" sqref="J6:J19"/>
    </sheetView>
  </sheetViews>
  <sheetFormatPr defaultColWidth="8.81640625" defaultRowHeight="12.5" x14ac:dyDescent="0.25"/>
  <cols>
    <col min="2" max="2" width="58.81640625" customWidth="1"/>
    <col min="3" max="3" width="10" customWidth="1"/>
    <col min="4" max="4" width="10.453125" customWidth="1"/>
    <col min="5" max="5" width="10" customWidth="1"/>
    <col min="6" max="8" width="10.1796875" customWidth="1"/>
    <col min="9" max="9" width="13.453125" customWidth="1"/>
    <col min="10" max="10" width="13" customWidth="1"/>
    <col min="11" max="11" width="10.453125" customWidth="1"/>
    <col min="12" max="12" width="11" customWidth="1"/>
    <col min="13" max="13" width="48" customWidth="1"/>
    <col min="14" max="15" width="10" customWidth="1"/>
  </cols>
  <sheetData>
    <row r="1" spans="1:17" ht="18" x14ac:dyDescent="0.4">
      <c r="B1" s="264" t="s">
        <v>228</v>
      </c>
      <c r="C1" s="6"/>
      <c r="D1" s="208"/>
      <c r="E1" s="208"/>
      <c r="F1" s="6"/>
      <c r="G1" s="208"/>
      <c r="H1" s="208"/>
      <c r="I1" s="6"/>
      <c r="J1" s="6"/>
      <c r="K1" s="6"/>
      <c r="L1" s="6"/>
      <c r="M1" s="6"/>
      <c r="N1" s="8"/>
      <c r="O1" s="6"/>
      <c r="P1" s="6"/>
      <c r="Q1" s="6"/>
    </row>
    <row r="2" spans="1:17" ht="18" x14ac:dyDescent="0.4">
      <c r="B2" s="231" t="s">
        <v>175</v>
      </c>
      <c r="C2" s="6"/>
      <c r="D2" s="208"/>
      <c r="E2" s="208"/>
      <c r="I2" s="8" t="s">
        <v>31</v>
      </c>
      <c r="J2" s="51">
        <f>MAX(I6:I19)</f>
        <v>0</v>
      </c>
      <c r="K2" s="6" t="s">
        <v>16</v>
      </c>
      <c r="L2" s="6">
        <v>2.5</v>
      </c>
      <c r="M2" s="132" t="s">
        <v>146</v>
      </c>
      <c r="N2" s="8"/>
      <c r="O2" s="6"/>
      <c r="P2" s="6"/>
      <c r="Q2" s="6"/>
    </row>
    <row r="3" spans="1:17" ht="13" x14ac:dyDescent="0.3">
      <c r="B3" s="121"/>
      <c r="C3" s="6"/>
      <c r="D3" s="208"/>
      <c r="E3" s="208"/>
      <c r="I3" s="8" t="s">
        <v>32</v>
      </c>
      <c r="J3" s="51">
        <f>MIN(I6:I19)</f>
        <v>0</v>
      </c>
      <c r="K3" s="6" t="s">
        <v>16</v>
      </c>
      <c r="L3" s="6">
        <v>50</v>
      </c>
      <c r="M3" s="132" t="s">
        <v>147</v>
      </c>
      <c r="N3" s="8"/>
      <c r="O3" s="6"/>
      <c r="P3" s="6"/>
      <c r="Q3" s="6"/>
    </row>
    <row r="4" spans="1:17" ht="13.5" thickBot="1" x14ac:dyDescent="0.35">
      <c r="B4" s="14"/>
      <c r="C4" s="14"/>
      <c r="D4" s="14"/>
      <c r="E4" s="14"/>
      <c r="F4" s="14"/>
      <c r="G4" s="14"/>
      <c r="H4" s="14"/>
      <c r="I4" s="14"/>
      <c r="J4" s="6"/>
      <c r="K4" s="14"/>
      <c r="L4" s="14"/>
      <c r="M4" s="14"/>
      <c r="N4" s="21"/>
      <c r="O4" s="6"/>
      <c r="P4" s="6"/>
      <c r="Q4" s="6"/>
    </row>
    <row r="5" spans="1:17" ht="30.75" customHeight="1" x14ac:dyDescent="0.35">
      <c r="B5" s="55"/>
      <c r="C5" s="31" t="s">
        <v>138</v>
      </c>
      <c r="D5" s="31" t="s">
        <v>187</v>
      </c>
      <c r="E5" s="31" t="s">
        <v>188</v>
      </c>
      <c r="F5" s="31" t="s">
        <v>139</v>
      </c>
      <c r="G5" s="31" t="s">
        <v>187</v>
      </c>
      <c r="H5" s="31" t="s">
        <v>188</v>
      </c>
      <c r="I5" s="31" t="s">
        <v>30</v>
      </c>
      <c r="J5" s="31" t="s">
        <v>9</v>
      </c>
      <c r="K5" s="20" t="s">
        <v>26</v>
      </c>
      <c r="L5" s="20"/>
      <c r="M5" s="483" t="s">
        <v>302</v>
      </c>
      <c r="N5" s="12"/>
      <c r="O5" s="11"/>
      <c r="P5" s="5"/>
      <c r="Q5" s="6"/>
    </row>
    <row r="6" spans="1:17" ht="13.5" thickBot="1" x14ac:dyDescent="0.35">
      <c r="A6" s="246">
        <v>11</v>
      </c>
      <c r="B6" s="246" t="s">
        <v>168</v>
      </c>
      <c r="C6" s="425"/>
      <c r="D6" s="425"/>
      <c r="E6" s="425"/>
      <c r="F6" s="425"/>
      <c r="G6" s="425"/>
      <c r="H6" s="425"/>
      <c r="I6" s="426"/>
      <c r="J6" s="166">
        <v>0</v>
      </c>
      <c r="K6" s="427">
        <f>RANK(J6,$J$6:$J$19)</f>
        <v>1</v>
      </c>
      <c r="L6" s="40"/>
      <c r="M6" s="485" t="e">
        <f>IF((I6=100), 2.5,(-$J$22*I6+$J$23))</f>
        <v>#DIV/0!</v>
      </c>
      <c r="N6" s="22"/>
      <c r="O6" s="23"/>
      <c r="P6" s="16"/>
      <c r="Q6" s="6"/>
    </row>
    <row r="7" spans="1:17" ht="13" x14ac:dyDescent="0.3">
      <c r="A7" s="246">
        <v>12</v>
      </c>
      <c r="B7" s="246" t="s">
        <v>171</v>
      </c>
      <c r="C7" s="425"/>
      <c r="D7" s="425"/>
      <c r="E7" s="425"/>
      <c r="F7" s="425"/>
      <c r="G7" s="425"/>
      <c r="H7" s="425"/>
      <c r="I7" s="426"/>
      <c r="J7" s="166">
        <v>0</v>
      </c>
      <c r="K7" s="427">
        <f t="shared" ref="K7:K19" si="0">RANK(J7,$J$6:$J$19)</f>
        <v>1</v>
      </c>
      <c r="L7" s="54"/>
      <c r="M7" s="217"/>
      <c r="N7" s="22"/>
      <c r="O7" s="23"/>
      <c r="P7" s="16"/>
      <c r="Q7" s="6"/>
    </row>
    <row r="8" spans="1:17" ht="13" x14ac:dyDescent="0.3">
      <c r="A8" s="246">
        <v>13</v>
      </c>
      <c r="B8" s="246" t="s">
        <v>173</v>
      </c>
      <c r="C8" s="425"/>
      <c r="D8" s="425"/>
      <c r="E8" s="425"/>
      <c r="F8" s="425"/>
      <c r="G8" s="425"/>
      <c r="H8" s="425"/>
      <c r="I8" s="426"/>
      <c r="J8" s="166">
        <v>0</v>
      </c>
      <c r="K8" s="427">
        <f t="shared" si="0"/>
        <v>1</v>
      </c>
      <c r="L8" s="40"/>
      <c r="M8" s="217"/>
      <c r="N8" s="22"/>
      <c r="O8" s="23"/>
      <c r="P8" s="16"/>
      <c r="Q8" s="6"/>
    </row>
    <row r="9" spans="1:17" s="122" customFormat="1" ht="13" x14ac:dyDescent="0.3">
      <c r="A9" s="246">
        <v>14</v>
      </c>
      <c r="B9" s="246" t="s">
        <v>198</v>
      </c>
      <c r="C9" s="425"/>
      <c r="D9" s="425"/>
      <c r="E9" s="425"/>
      <c r="F9" s="425"/>
      <c r="G9" s="425"/>
      <c r="H9" s="425"/>
      <c r="I9" s="426"/>
      <c r="J9" s="166">
        <v>0</v>
      </c>
      <c r="K9" s="427">
        <f t="shared" si="0"/>
        <v>1</v>
      </c>
      <c r="L9" s="127"/>
      <c r="M9" s="217"/>
      <c r="N9" s="128"/>
      <c r="O9" s="120"/>
      <c r="P9" s="126"/>
      <c r="Q9" s="123"/>
    </row>
    <row r="10" spans="1:17" s="122" customFormat="1" ht="13" x14ac:dyDescent="0.3">
      <c r="A10" s="246">
        <v>15</v>
      </c>
      <c r="B10" s="246" t="s">
        <v>164</v>
      </c>
      <c r="C10" s="425"/>
      <c r="D10" s="425"/>
      <c r="E10" s="425"/>
      <c r="F10" s="425"/>
      <c r="G10" s="425"/>
      <c r="H10" s="425"/>
      <c r="I10" s="426"/>
      <c r="J10" s="166">
        <v>0</v>
      </c>
      <c r="K10" s="427">
        <f t="shared" si="0"/>
        <v>1</v>
      </c>
      <c r="L10" s="127"/>
      <c r="M10" s="217"/>
      <c r="N10" s="128"/>
      <c r="O10" s="120"/>
      <c r="P10" s="126"/>
      <c r="Q10" s="123"/>
    </row>
    <row r="11" spans="1:17" ht="13" x14ac:dyDescent="0.3">
      <c r="A11" s="246">
        <v>16</v>
      </c>
      <c r="B11" s="246" t="s">
        <v>208</v>
      </c>
      <c r="C11" s="425"/>
      <c r="D11" s="425"/>
      <c r="E11" s="425"/>
      <c r="F11" s="425"/>
      <c r="G11" s="425"/>
      <c r="H11" s="425"/>
      <c r="I11" s="426"/>
      <c r="J11" s="166">
        <v>0</v>
      </c>
      <c r="K11" s="427">
        <f t="shared" si="0"/>
        <v>1</v>
      </c>
      <c r="L11" s="40"/>
      <c r="M11" s="217"/>
      <c r="N11" s="22"/>
      <c r="O11" s="23"/>
      <c r="P11" s="16"/>
      <c r="Q11" s="6"/>
    </row>
    <row r="12" spans="1:17" ht="13" x14ac:dyDescent="0.3">
      <c r="A12" s="246">
        <v>17</v>
      </c>
      <c r="B12" s="246" t="s">
        <v>167</v>
      </c>
      <c r="C12" s="425"/>
      <c r="D12" s="425"/>
      <c r="E12" s="425"/>
      <c r="F12" s="425"/>
      <c r="G12" s="425"/>
      <c r="H12" s="425"/>
      <c r="I12" s="426"/>
      <c r="J12" s="166">
        <v>0</v>
      </c>
      <c r="K12" s="427">
        <f t="shared" si="0"/>
        <v>1</v>
      </c>
      <c r="L12" s="40"/>
      <c r="M12" s="217"/>
      <c r="N12" s="22"/>
      <c r="O12" s="23"/>
      <c r="P12" s="16"/>
      <c r="Q12" s="6"/>
    </row>
    <row r="13" spans="1:17" ht="13" x14ac:dyDescent="0.3">
      <c r="A13" s="246">
        <v>18</v>
      </c>
      <c r="B13" s="246" t="s">
        <v>209</v>
      </c>
      <c r="C13" s="425"/>
      <c r="D13" s="425"/>
      <c r="E13" s="425"/>
      <c r="F13" s="425"/>
      <c r="G13" s="425"/>
      <c r="H13" s="425"/>
      <c r="I13" s="426"/>
      <c r="J13" s="166">
        <v>0</v>
      </c>
      <c r="K13" s="427">
        <f t="shared" si="0"/>
        <v>1</v>
      </c>
      <c r="L13" s="40"/>
      <c r="M13" s="217"/>
      <c r="N13" s="22"/>
      <c r="O13" s="23"/>
      <c r="P13" s="16"/>
      <c r="Q13" s="6"/>
    </row>
    <row r="14" spans="1:17" ht="13" x14ac:dyDescent="0.3">
      <c r="A14" s="246">
        <v>19</v>
      </c>
      <c r="B14" s="246" t="s">
        <v>170</v>
      </c>
      <c r="C14" s="425"/>
      <c r="D14" s="425"/>
      <c r="E14" s="425"/>
      <c r="F14" s="425"/>
      <c r="G14" s="425"/>
      <c r="H14" s="425"/>
      <c r="I14" s="426"/>
      <c r="J14" s="166">
        <v>0</v>
      </c>
      <c r="K14" s="427">
        <f t="shared" si="0"/>
        <v>1</v>
      </c>
      <c r="L14" s="40"/>
      <c r="M14" s="219"/>
      <c r="N14" s="22"/>
      <c r="O14" s="23"/>
      <c r="P14" s="16"/>
      <c r="Q14" s="6"/>
    </row>
    <row r="15" spans="1:17" ht="13" x14ac:dyDescent="0.3">
      <c r="A15" s="246">
        <v>20</v>
      </c>
      <c r="B15" s="246" t="s">
        <v>166</v>
      </c>
      <c r="C15" s="425"/>
      <c r="D15" s="425"/>
      <c r="E15" s="425"/>
      <c r="F15" s="425"/>
      <c r="G15" s="425"/>
      <c r="H15" s="425"/>
      <c r="I15" s="426"/>
      <c r="J15" s="166">
        <v>0</v>
      </c>
      <c r="K15" s="427">
        <f t="shared" si="0"/>
        <v>1</v>
      </c>
      <c r="L15" s="40"/>
      <c r="M15" s="218"/>
      <c r="N15" s="22"/>
      <c r="O15" s="23"/>
      <c r="P15" s="16"/>
      <c r="Q15" s="6"/>
    </row>
    <row r="16" spans="1:17" ht="13" x14ac:dyDescent="0.3">
      <c r="A16" s="246">
        <v>21</v>
      </c>
      <c r="B16" s="246" t="s">
        <v>165</v>
      </c>
      <c r="C16" s="425"/>
      <c r="D16" s="425"/>
      <c r="E16" s="425"/>
      <c r="F16" s="425"/>
      <c r="G16" s="425"/>
      <c r="H16" s="425"/>
      <c r="I16" s="426"/>
      <c r="J16" s="166">
        <v>0</v>
      </c>
      <c r="K16" s="427">
        <f t="shared" si="0"/>
        <v>1</v>
      </c>
      <c r="L16" s="40"/>
      <c r="M16" s="218"/>
      <c r="N16" s="22"/>
      <c r="O16" s="23"/>
      <c r="P16" s="16"/>
      <c r="Q16" s="6"/>
    </row>
    <row r="17" spans="1:17" s="93" customFormat="1" ht="13" x14ac:dyDescent="0.3">
      <c r="A17" s="246">
        <v>22</v>
      </c>
      <c r="B17" s="246" t="s">
        <v>172</v>
      </c>
      <c r="C17" s="425"/>
      <c r="D17" s="425"/>
      <c r="E17" s="425"/>
      <c r="F17" s="425"/>
      <c r="G17" s="425"/>
      <c r="H17" s="425"/>
      <c r="I17" s="426"/>
      <c r="J17" s="166">
        <v>0</v>
      </c>
      <c r="K17" s="427">
        <f t="shared" si="0"/>
        <v>1</v>
      </c>
      <c r="L17" s="95"/>
      <c r="M17" s="217"/>
      <c r="N17" s="96"/>
      <c r="O17" s="97"/>
      <c r="P17" s="94"/>
      <c r="Q17" s="92"/>
    </row>
    <row r="18" spans="1:17" ht="13" x14ac:dyDescent="0.3">
      <c r="A18" s="246">
        <v>23</v>
      </c>
      <c r="B18" s="246" t="s">
        <v>210</v>
      </c>
      <c r="C18" s="348"/>
      <c r="D18" s="348"/>
      <c r="E18" s="348"/>
      <c r="F18" s="348"/>
      <c r="G18" s="348"/>
      <c r="H18" s="348"/>
      <c r="I18" s="426"/>
      <c r="J18" s="166">
        <v>0</v>
      </c>
      <c r="K18" s="427">
        <f t="shared" si="0"/>
        <v>1</v>
      </c>
      <c r="L18" s="6"/>
      <c r="M18" s="217"/>
      <c r="N18" s="6"/>
      <c r="O18" s="6"/>
      <c r="P18" s="6"/>
      <c r="Q18" s="6"/>
    </row>
    <row r="19" spans="1:17" ht="13" x14ac:dyDescent="0.3">
      <c r="A19" s="246">
        <v>26</v>
      </c>
      <c r="B19" s="246" t="s">
        <v>169</v>
      </c>
      <c r="C19" s="348"/>
      <c r="D19" s="348"/>
      <c r="E19" s="348"/>
      <c r="F19" s="348"/>
      <c r="G19" s="348"/>
      <c r="H19" s="348"/>
      <c r="I19" s="426"/>
      <c r="J19" s="166">
        <v>0</v>
      </c>
      <c r="K19" s="427">
        <f t="shared" si="0"/>
        <v>1</v>
      </c>
    </row>
    <row r="21" spans="1:17" x14ac:dyDescent="0.25">
      <c r="I21" s="159" t="s">
        <v>113</v>
      </c>
      <c r="J21" s="159"/>
    </row>
    <row r="22" spans="1:17" x14ac:dyDescent="0.25">
      <c r="I22" s="159" t="s">
        <v>110</v>
      </c>
      <c r="J22" s="164" t="e">
        <f>50/(J2-J3)</f>
        <v>#DIV/0!</v>
      </c>
    </row>
    <row r="23" spans="1:17" x14ac:dyDescent="0.25">
      <c r="I23" s="159" t="s">
        <v>111</v>
      </c>
      <c r="J23" s="138" t="e">
        <f>J22*J2</f>
        <v>#DIV/0!</v>
      </c>
    </row>
    <row r="24" spans="1:17" ht="23" x14ac:dyDescent="0.5">
      <c r="B24" s="482" t="s">
        <v>301</v>
      </c>
    </row>
  </sheetData>
  <phoneticPr fontId="31" type="noConversion"/>
  <printOptions gridLines="1"/>
  <pageMargins left="0.75" right="0.75" top="1" bottom="1" header="0.5" footer="0.5"/>
  <pageSetup scale="90"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27"/>
  <sheetViews>
    <sheetView zoomScaleNormal="100" zoomScalePageLayoutView="125" workbookViewId="0">
      <pane xSplit="2" ySplit="3" topLeftCell="C4" activePane="bottomRight" state="frozen"/>
      <selection pane="topRight" activeCell="B1" sqref="B1"/>
      <selection pane="bottomLeft" activeCell="A4" sqref="A4"/>
      <selection pane="bottomRight" activeCell="B1" sqref="B1:D1"/>
    </sheetView>
  </sheetViews>
  <sheetFormatPr defaultColWidth="8.81640625" defaultRowHeight="12.5" x14ac:dyDescent="0.25"/>
  <cols>
    <col min="2" max="2" width="30.81640625" customWidth="1"/>
    <col min="3" max="3" width="8.6328125" customWidth="1"/>
    <col min="4" max="4" width="6.90625" customWidth="1"/>
    <col min="5" max="5" width="6.81640625" style="3" customWidth="1"/>
    <col min="6" max="6" width="5.6328125" style="3" customWidth="1"/>
    <col min="7" max="7" width="14" style="3" customWidth="1"/>
    <col min="8" max="8" width="10.81640625" style="3" customWidth="1"/>
    <col min="9" max="9" width="9.81640625" style="3" customWidth="1"/>
    <col min="10" max="10" width="15.81640625" style="160" customWidth="1"/>
    <col min="11" max="11" width="13.453125" style="3" customWidth="1"/>
    <col min="12" max="12" width="5.453125" style="102" bestFit="1" customWidth="1"/>
    <col min="13" max="13" width="26.81640625" customWidth="1"/>
  </cols>
  <sheetData>
    <row r="1" spans="1:15" ht="18" x14ac:dyDescent="0.4">
      <c r="B1" s="662" t="s">
        <v>229</v>
      </c>
      <c r="C1" s="662"/>
      <c r="D1" s="662"/>
      <c r="E1" s="16"/>
      <c r="F1" s="16"/>
      <c r="G1" s="16"/>
      <c r="H1" s="16"/>
      <c r="I1" s="16"/>
      <c r="J1" s="143"/>
      <c r="K1" s="16"/>
      <c r="L1" s="132"/>
      <c r="M1" s="6"/>
    </row>
    <row r="2" spans="1:15" x14ac:dyDescent="0.25">
      <c r="B2" s="21"/>
      <c r="C2" s="21"/>
      <c r="D2" s="21"/>
      <c r="E2" s="40"/>
      <c r="F2" s="40"/>
      <c r="G2" s="40"/>
      <c r="H2" s="40"/>
      <c r="I2" s="40"/>
      <c r="J2" s="142"/>
      <c r="K2" s="40"/>
      <c r="L2" s="132"/>
      <c r="M2" s="6"/>
    </row>
    <row r="3" spans="1:15" s="98" customFormat="1" ht="39" x14ac:dyDescent="0.3">
      <c r="B3" s="193"/>
      <c r="C3" s="487" t="s">
        <v>304</v>
      </c>
      <c r="D3" s="31" t="s">
        <v>36</v>
      </c>
      <c r="E3" s="31" t="s">
        <v>7</v>
      </c>
      <c r="F3" s="31" t="s">
        <v>56</v>
      </c>
      <c r="G3" s="31" t="s">
        <v>48</v>
      </c>
      <c r="H3" s="31" t="s">
        <v>74</v>
      </c>
      <c r="I3" s="31" t="s">
        <v>8</v>
      </c>
      <c r="J3" s="124" t="s">
        <v>57</v>
      </c>
      <c r="K3" s="31" t="s">
        <v>58</v>
      </c>
      <c r="L3" s="28" t="s">
        <v>55</v>
      </c>
      <c r="M3" s="31" t="s">
        <v>45</v>
      </c>
    </row>
    <row r="4" spans="1:15" s="176" customFormat="1" ht="14.5" x14ac:dyDescent="0.35">
      <c r="A4" s="246">
        <v>11</v>
      </c>
      <c r="B4" s="246" t="s">
        <v>168</v>
      </c>
      <c r="C4" s="462"/>
      <c r="D4" s="198"/>
      <c r="E4" s="199"/>
      <c r="F4" s="199"/>
      <c r="G4" s="198"/>
      <c r="H4" s="220"/>
      <c r="I4" s="220"/>
      <c r="J4" s="220">
        <v>0</v>
      </c>
      <c r="K4" s="198"/>
      <c r="L4" s="173">
        <f>SUM(C4:K4)</f>
        <v>0</v>
      </c>
      <c r="M4" s="622" t="s">
        <v>317</v>
      </c>
    </row>
    <row r="5" spans="1:15" s="175" customFormat="1" ht="14.5" x14ac:dyDescent="0.35">
      <c r="A5" s="246">
        <v>12</v>
      </c>
      <c r="B5" s="246" t="s">
        <v>171</v>
      </c>
      <c r="C5" s="462"/>
      <c r="D5" s="198"/>
      <c r="E5" s="199"/>
      <c r="F5" s="199"/>
      <c r="G5" s="198"/>
      <c r="H5" s="198"/>
      <c r="I5" s="220"/>
      <c r="J5" s="220">
        <v>0</v>
      </c>
      <c r="K5" s="198"/>
      <c r="L5" s="173">
        <f t="shared" ref="L5:L17" si="0">SUM(C5:K5)</f>
        <v>0</v>
      </c>
      <c r="M5" s="622" t="s">
        <v>318</v>
      </c>
    </row>
    <row r="6" spans="1:15" s="175" customFormat="1" ht="14.5" x14ac:dyDescent="0.35">
      <c r="A6" s="246">
        <v>13</v>
      </c>
      <c r="B6" s="246" t="s">
        <v>173</v>
      </c>
      <c r="C6" s="462"/>
      <c r="D6" s="198"/>
      <c r="E6" s="199"/>
      <c r="F6" s="199"/>
      <c r="G6" s="198"/>
      <c r="H6" s="198"/>
      <c r="I6" s="198"/>
      <c r="J6" s="220">
        <v>0</v>
      </c>
      <c r="K6" s="198"/>
      <c r="L6" s="173">
        <f t="shared" si="0"/>
        <v>0</v>
      </c>
      <c r="M6" s="621" t="s">
        <v>319</v>
      </c>
      <c r="O6" s="176"/>
    </row>
    <row r="7" spans="1:15" s="176" customFormat="1" ht="14.5" x14ac:dyDescent="0.35">
      <c r="A7" s="246">
        <v>14</v>
      </c>
      <c r="B7" s="246" t="s">
        <v>198</v>
      </c>
      <c r="C7" s="462"/>
      <c r="D7" s="198"/>
      <c r="E7" s="199"/>
      <c r="F7" s="199"/>
      <c r="G7" s="198"/>
      <c r="H7" s="220"/>
      <c r="I7" s="198"/>
      <c r="J7" s="220">
        <v>100</v>
      </c>
      <c r="K7" s="220"/>
      <c r="L7" s="173">
        <f t="shared" si="0"/>
        <v>100</v>
      </c>
      <c r="M7" s="174"/>
    </row>
    <row r="8" spans="1:15" s="176" customFormat="1" ht="14.5" x14ac:dyDescent="0.35">
      <c r="A8" s="246">
        <v>15</v>
      </c>
      <c r="B8" s="246" t="s">
        <v>164</v>
      </c>
      <c r="C8" s="462"/>
      <c r="D8" s="198"/>
      <c r="E8" s="198"/>
      <c r="F8" s="199"/>
      <c r="G8" s="198"/>
      <c r="H8" s="220"/>
      <c r="I8" s="220"/>
      <c r="J8" s="220">
        <v>100</v>
      </c>
      <c r="K8" s="198"/>
      <c r="L8" s="173">
        <f t="shared" si="0"/>
        <v>100</v>
      </c>
      <c r="M8" s="174"/>
    </row>
    <row r="9" spans="1:15" s="176" customFormat="1" ht="26.5" x14ac:dyDescent="0.35">
      <c r="A9" s="246">
        <v>16</v>
      </c>
      <c r="B9" s="246" t="s">
        <v>208</v>
      </c>
      <c r="C9" s="462"/>
      <c r="D9" s="198"/>
      <c r="E9" s="199"/>
      <c r="F9" s="199"/>
      <c r="G9" s="198"/>
      <c r="H9" s="198">
        <v>-40</v>
      </c>
      <c r="I9" s="198"/>
      <c r="J9" s="220">
        <v>0</v>
      </c>
      <c r="K9" s="198"/>
      <c r="L9" s="173">
        <f t="shared" si="0"/>
        <v>-40</v>
      </c>
      <c r="M9" s="622" t="s">
        <v>321</v>
      </c>
    </row>
    <row r="10" spans="1:15" s="176" customFormat="1" ht="14.5" x14ac:dyDescent="0.35">
      <c r="A10" s="246">
        <v>17</v>
      </c>
      <c r="B10" s="246" t="s">
        <v>167</v>
      </c>
      <c r="C10" s="462"/>
      <c r="D10" s="198"/>
      <c r="E10" s="199"/>
      <c r="F10" s="199"/>
      <c r="G10" s="198"/>
      <c r="H10" s="220"/>
      <c r="I10" s="198"/>
      <c r="J10" s="220">
        <v>0</v>
      </c>
      <c r="K10" s="198"/>
      <c r="L10" s="173">
        <f t="shared" si="0"/>
        <v>0</v>
      </c>
      <c r="M10" s="621" t="s">
        <v>322</v>
      </c>
    </row>
    <row r="11" spans="1:15" s="176" customFormat="1" ht="14.5" x14ac:dyDescent="0.35">
      <c r="A11" s="246">
        <v>18</v>
      </c>
      <c r="B11" s="246" t="s">
        <v>209</v>
      </c>
      <c r="C11" s="462"/>
      <c r="D11" s="198"/>
      <c r="E11" s="199"/>
      <c r="F11" s="199"/>
      <c r="G11" s="198"/>
      <c r="H11" s="198"/>
      <c r="I11" s="198"/>
      <c r="J11" s="220">
        <v>0</v>
      </c>
      <c r="K11" s="198"/>
      <c r="L11" s="173">
        <f t="shared" si="0"/>
        <v>0</v>
      </c>
      <c r="M11" s="621" t="s">
        <v>323</v>
      </c>
    </row>
    <row r="12" spans="1:15" s="176" customFormat="1" ht="29" x14ac:dyDescent="0.35">
      <c r="A12" s="246">
        <v>19</v>
      </c>
      <c r="B12" s="246" t="s">
        <v>170</v>
      </c>
      <c r="C12" s="462"/>
      <c r="D12" s="198"/>
      <c r="E12" s="198"/>
      <c r="F12" s="199"/>
      <c r="G12" s="198"/>
      <c r="H12" s="220"/>
      <c r="I12" s="198">
        <v>-50</v>
      </c>
      <c r="J12" s="220">
        <v>0</v>
      </c>
      <c r="L12" s="173">
        <f t="shared" si="0"/>
        <v>-50</v>
      </c>
      <c r="M12" s="623" t="s">
        <v>320</v>
      </c>
    </row>
    <row r="13" spans="1:15" s="177" customFormat="1" ht="39.5" x14ac:dyDescent="0.35">
      <c r="A13" s="246">
        <v>20</v>
      </c>
      <c r="B13" s="246" t="s">
        <v>166</v>
      </c>
      <c r="C13" s="462"/>
      <c r="D13" s="198"/>
      <c r="E13" s="198"/>
      <c r="F13" s="198"/>
      <c r="G13" s="198"/>
      <c r="H13" s="198">
        <v>-30</v>
      </c>
      <c r="I13" s="198"/>
      <c r="J13" s="220">
        <v>0</v>
      </c>
      <c r="K13" s="198"/>
      <c r="L13" s="173">
        <f t="shared" si="0"/>
        <v>-30</v>
      </c>
      <c r="M13" s="622" t="s">
        <v>324</v>
      </c>
    </row>
    <row r="14" spans="1:15" s="176" customFormat="1" ht="14.5" x14ac:dyDescent="0.35">
      <c r="A14" s="246">
        <v>21</v>
      </c>
      <c r="B14" s="246" t="s">
        <v>165</v>
      </c>
      <c r="C14" s="462"/>
      <c r="D14" s="198"/>
      <c r="E14" s="488"/>
      <c r="F14" s="199"/>
      <c r="G14" s="198"/>
      <c r="H14" s="220"/>
      <c r="I14" s="198"/>
      <c r="J14" s="220">
        <v>0</v>
      </c>
      <c r="K14" s="198"/>
      <c r="L14" s="173">
        <f t="shared" si="0"/>
        <v>0</v>
      </c>
      <c r="M14" s="624" t="s">
        <v>325</v>
      </c>
    </row>
    <row r="15" spans="1:15" ht="14.5" x14ac:dyDescent="0.35">
      <c r="A15" s="246">
        <v>22</v>
      </c>
      <c r="B15" s="246" t="s">
        <v>172</v>
      </c>
      <c r="C15" s="486">
        <v>-100</v>
      </c>
      <c r="D15" s="198"/>
      <c r="E15" s="488">
        <v>-100</v>
      </c>
      <c r="F15" s="199"/>
      <c r="G15" s="198">
        <v>-100</v>
      </c>
      <c r="H15" s="220"/>
      <c r="I15" s="198"/>
      <c r="J15" s="220">
        <v>0</v>
      </c>
      <c r="K15" s="198"/>
      <c r="L15" s="173">
        <f t="shared" si="0"/>
        <v>-300</v>
      </c>
      <c r="M15" s="624" t="s">
        <v>326</v>
      </c>
    </row>
    <row r="16" spans="1:15" ht="14.5" x14ac:dyDescent="0.35">
      <c r="A16" s="246">
        <v>23</v>
      </c>
      <c r="B16" s="246" t="s">
        <v>210</v>
      </c>
      <c r="C16" s="462"/>
      <c r="D16" s="198"/>
      <c r="E16" s="488"/>
      <c r="F16" s="199"/>
      <c r="G16" s="198"/>
      <c r="H16" s="220"/>
      <c r="I16" s="198"/>
      <c r="J16" s="220">
        <v>100</v>
      </c>
      <c r="K16" s="198"/>
      <c r="L16" s="173">
        <f t="shared" si="0"/>
        <v>100</v>
      </c>
      <c r="M16" s="6"/>
    </row>
    <row r="17" spans="1:13" ht="14.5" x14ac:dyDescent="0.35">
      <c r="A17" s="246">
        <v>26</v>
      </c>
      <c r="B17" s="246" t="s">
        <v>169</v>
      </c>
      <c r="C17" s="486">
        <v>-100</v>
      </c>
      <c r="D17" s="198"/>
      <c r="E17" s="200"/>
      <c r="F17" s="199"/>
      <c r="G17" s="198"/>
      <c r="H17" s="220"/>
      <c r="I17" s="198"/>
      <c r="J17" s="220">
        <v>0</v>
      </c>
      <c r="K17" s="198"/>
      <c r="L17" s="173">
        <f t="shared" si="0"/>
        <v>-100</v>
      </c>
      <c r="M17" s="624" t="s">
        <v>327</v>
      </c>
    </row>
    <row r="18" spans="1:13" ht="15.5" x14ac:dyDescent="0.35">
      <c r="B18" s="19"/>
      <c r="C18" s="19"/>
      <c r="D18" s="19"/>
      <c r="E18" s="152"/>
      <c r="F18" s="238"/>
      <c r="G18" s="202"/>
      <c r="H18" s="203"/>
      <c r="I18" s="40"/>
      <c r="J18" s="142"/>
      <c r="K18" s="192"/>
      <c r="L18" s="132"/>
      <c r="M18" s="6"/>
    </row>
    <row r="19" spans="1:13" ht="15.5" x14ac:dyDescent="0.35">
      <c r="B19" s="19"/>
      <c r="C19" s="19"/>
      <c r="D19" s="19"/>
      <c r="E19" s="152"/>
      <c r="F19" s="152"/>
      <c r="G19" s="152"/>
      <c r="H19" s="32"/>
      <c r="I19" s="40"/>
      <c r="J19" s="142"/>
      <c r="K19" s="192"/>
      <c r="L19" s="132"/>
      <c r="M19" s="6"/>
    </row>
    <row r="20" spans="1:13" ht="15.5" x14ac:dyDescent="0.35">
      <c r="B20" s="19"/>
      <c r="C20" s="19"/>
      <c r="D20" s="19"/>
      <c r="E20" s="152"/>
      <c r="F20" s="152" t="s">
        <v>156</v>
      </c>
      <c r="G20" s="663" t="s">
        <v>157</v>
      </c>
      <c r="H20" s="663"/>
      <c r="I20" s="625">
        <v>-20</v>
      </c>
      <c r="J20" s="142"/>
      <c r="K20" s="192"/>
      <c r="L20" s="132"/>
      <c r="M20" s="6"/>
    </row>
    <row r="21" spans="1:13" ht="15.5" x14ac:dyDescent="0.35">
      <c r="B21" s="19"/>
      <c r="C21" s="19"/>
      <c r="D21" s="19"/>
      <c r="E21" s="152"/>
      <c r="F21" s="152" t="s">
        <v>59</v>
      </c>
      <c r="G21" s="663" t="s">
        <v>158</v>
      </c>
      <c r="H21" s="663"/>
      <c r="I21" s="155">
        <v>20</v>
      </c>
      <c r="J21" s="142"/>
      <c r="K21" s="192"/>
      <c r="L21" s="132"/>
      <c r="M21" s="6"/>
    </row>
    <row r="22" spans="1:13" x14ac:dyDescent="0.25">
      <c r="B22" s="19"/>
      <c r="C22" s="19"/>
      <c r="D22" s="19"/>
      <c r="E22" s="152"/>
      <c r="F22" s="152"/>
      <c r="G22" s="152"/>
      <c r="H22" s="32"/>
      <c r="I22" s="40"/>
      <c r="J22" s="142"/>
      <c r="K22" s="40"/>
      <c r="L22" s="132"/>
      <c r="M22" s="6"/>
    </row>
    <row r="23" spans="1:13" ht="15.5" x14ac:dyDescent="0.35">
      <c r="B23" s="19"/>
      <c r="C23" s="19"/>
      <c r="D23" s="19"/>
      <c r="E23" s="152"/>
      <c r="F23" s="152"/>
      <c r="G23" s="152"/>
      <c r="H23" s="32"/>
      <c r="I23" s="40"/>
      <c r="J23" s="142"/>
      <c r="K23" s="192"/>
      <c r="L23" s="132"/>
      <c r="M23" s="6"/>
    </row>
    <row r="24" spans="1:13" x14ac:dyDescent="0.25">
      <c r="B24" s="19"/>
      <c r="C24" s="19"/>
      <c r="D24" s="19"/>
      <c r="E24" s="153"/>
      <c r="F24" s="153"/>
      <c r="G24" s="153"/>
      <c r="H24" s="32"/>
      <c r="I24" s="40"/>
      <c r="J24" s="142"/>
      <c r="K24" s="46"/>
    </row>
    <row r="25" spans="1:13" x14ac:dyDescent="0.25">
      <c r="B25" s="1"/>
      <c r="C25" s="1"/>
      <c r="D25" s="1"/>
      <c r="E25" s="46"/>
      <c r="F25" s="46"/>
      <c r="G25" s="46"/>
      <c r="H25" s="40"/>
      <c r="I25" s="46"/>
      <c r="J25" s="172"/>
      <c r="K25" s="46"/>
    </row>
    <row r="26" spans="1:13" x14ac:dyDescent="0.25">
      <c r="B26" s="1"/>
      <c r="C26" s="1"/>
      <c r="D26" s="1"/>
      <c r="E26" s="46"/>
      <c r="F26" s="46"/>
      <c r="G26" s="46"/>
      <c r="H26" s="46"/>
      <c r="I26" s="46"/>
      <c r="J26" s="172"/>
      <c r="K26" s="46"/>
    </row>
    <row r="27" spans="1:13" x14ac:dyDescent="0.25">
      <c r="B27" s="1"/>
      <c r="C27" s="1"/>
      <c r="D27" s="1"/>
      <c r="E27" s="46"/>
      <c r="F27" s="46"/>
      <c r="G27" s="46"/>
      <c r="H27" s="46"/>
      <c r="I27" s="46"/>
      <c r="J27" s="172"/>
      <c r="K27" s="46"/>
    </row>
  </sheetData>
  <mergeCells count="3">
    <mergeCell ref="B1:D1"/>
    <mergeCell ref="G20:H20"/>
    <mergeCell ref="G21:H21"/>
  </mergeCells>
  <phoneticPr fontId="31" type="noConversion"/>
  <printOptions gridLines="1"/>
  <pageMargins left="0.75" right="0.75" top="1" bottom="1" header="0.5" footer="0.5"/>
  <pageSetup scale="63" orientation="landscape" horizontalDpi="4294967294" verticalDpi="20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27"/>
  <sheetViews>
    <sheetView zoomScale="80" zoomScaleNormal="80" workbookViewId="0">
      <selection activeCell="F28" sqref="F28"/>
    </sheetView>
  </sheetViews>
  <sheetFormatPr defaultColWidth="8.81640625" defaultRowHeight="12.5" x14ac:dyDescent="0.25"/>
  <cols>
    <col min="2" max="2" width="54.81640625" customWidth="1"/>
    <col min="3" max="6" width="10.1796875" customWidth="1"/>
    <col min="8" max="8" width="10.453125" customWidth="1"/>
    <col min="10" max="10" width="10.1796875" customWidth="1"/>
  </cols>
  <sheetData>
    <row r="1" spans="1:22" ht="18" x14ac:dyDescent="0.4">
      <c r="B1" s="265" t="s">
        <v>230</v>
      </c>
      <c r="C1" s="25"/>
      <c r="D1" s="25"/>
      <c r="E1" s="25"/>
      <c r="F1" s="25" t="s">
        <v>53</v>
      </c>
      <c r="G1" s="26">
        <f>MAX(F4:F17)</f>
        <v>792</v>
      </c>
      <c r="H1" s="25" t="s">
        <v>54</v>
      </c>
      <c r="I1" s="25"/>
      <c r="J1" s="25"/>
      <c r="K1" s="25"/>
      <c r="L1" s="25"/>
      <c r="M1" s="25"/>
      <c r="N1" s="25"/>
      <c r="O1" s="25"/>
      <c r="P1" s="25"/>
      <c r="Q1" s="25"/>
      <c r="R1" s="25"/>
      <c r="S1" s="25"/>
      <c r="T1" s="25"/>
      <c r="U1" s="25"/>
      <c r="V1" s="25"/>
    </row>
    <row r="2" spans="1:22" x14ac:dyDescent="0.25">
      <c r="B2" s="122" t="s">
        <v>98</v>
      </c>
      <c r="C2" s="25"/>
      <c r="D2" s="25"/>
      <c r="E2" s="25"/>
      <c r="F2" s="25" t="s">
        <v>52</v>
      </c>
      <c r="G2" s="26">
        <f>MIN(F4:F17)</f>
        <v>575</v>
      </c>
      <c r="H2" s="25" t="s">
        <v>54</v>
      </c>
      <c r="I2" s="25"/>
      <c r="J2" s="25"/>
      <c r="K2" s="25"/>
      <c r="L2" s="25"/>
      <c r="M2" s="25"/>
      <c r="N2" s="25"/>
      <c r="O2" s="25"/>
      <c r="P2" s="25"/>
      <c r="Q2" s="25"/>
      <c r="R2" s="25"/>
      <c r="S2" s="25"/>
      <c r="T2" s="25"/>
      <c r="U2" s="25"/>
      <c r="V2" s="25"/>
    </row>
    <row r="3" spans="1:22" ht="13" x14ac:dyDescent="0.3">
      <c r="C3" s="88" t="s">
        <v>49</v>
      </c>
      <c r="D3" s="88" t="s">
        <v>50</v>
      </c>
      <c r="E3" s="88" t="s">
        <v>51</v>
      </c>
      <c r="F3" s="36" t="s">
        <v>23</v>
      </c>
      <c r="H3" s="31"/>
      <c r="I3" s="2" t="s">
        <v>26</v>
      </c>
    </row>
    <row r="4" spans="1:22" s="303" customFormat="1" ht="15.5" x14ac:dyDescent="0.35">
      <c r="A4" s="351">
        <v>11</v>
      </c>
      <c r="B4" s="351" t="s">
        <v>168</v>
      </c>
      <c r="C4" s="437" t="s">
        <v>308</v>
      </c>
      <c r="D4" s="437"/>
      <c r="E4" s="438"/>
      <c r="F4" s="439"/>
      <c r="G4" s="336"/>
      <c r="H4" s="440"/>
      <c r="I4" s="440"/>
    </row>
    <row r="5" spans="1:22" s="303" customFormat="1" ht="15.5" x14ac:dyDescent="0.35">
      <c r="A5" s="351">
        <v>12</v>
      </c>
      <c r="B5" s="351" t="s">
        <v>171</v>
      </c>
      <c r="C5" s="437">
        <v>184</v>
      </c>
      <c r="D5" s="437">
        <v>191</v>
      </c>
      <c r="E5" s="441">
        <v>340</v>
      </c>
      <c r="F5" s="439">
        <f t="shared" ref="F5:F16" si="0">+C5+D5+E5</f>
        <v>715</v>
      </c>
      <c r="G5" s="442"/>
      <c r="H5" s="440"/>
      <c r="I5" s="440">
        <f t="shared" ref="I5:I16" si="1">RANK($F5,$F$4:$F$17)</f>
        <v>2</v>
      </c>
      <c r="J5" s="428"/>
    </row>
    <row r="6" spans="1:22" s="303" customFormat="1" ht="15.5" x14ac:dyDescent="0.35">
      <c r="A6" s="351">
        <v>13</v>
      </c>
      <c r="B6" s="351" t="s">
        <v>173</v>
      </c>
      <c r="C6" s="437" t="s">
        <v>308</v>
      </c>
      <c r="D6" s="437"/>
      <c r="E6" s="441"/>
      <c r="F6" s="439"/>
      <c r="G6" s="336"/>
      <c r="H6" s="440"/>
      <c r="I6" s="440"/>
    </row>
    <row r="7" spans="1:22" s="304" customFormat="1" ht="15.5" x14ac:dyDescent="0.35">
      <c r="A7" s="351">
        <v>14</v>
      </c>
      <c r="B7" s="351" t="s">
        <v>198</v>
      </c>
      <c r="C7" s="437">
        <v>180</v>
      </c>
      <c r="D7" s="437">
        <v>215</v>
      </c>
      <c r="E7" s="441">
        <v>397</v>
      </c>
      <c r="F7" s="439">
        <f t="shared" si="0"/>
        <v>792</v>
      </c>
      <c r="G7" s="443"/>
      <c r="H7" s="444"/>
      <c r="I7" s="440">
        <f t="shared" si="1"/>
        <v>1</v>
      </c>
      <c r="J7" s="428"/>
    </row>
    <row r="8" spans="1:22" s="304" customFormat="1" ht="15.5" x14ac:dyDescent="0.35">
      <c r="A8" s="351">
        <v>15</v>
      </c>
      <c r="B8" s="351" t="s">
        <v>164</v>
      </c>
      <c r="C8" s="437">
        <v>160</v>
      </c>
      <c r="D8" s="437">
        <v>166</v>
      </c>
      <c r="E8" s="441">
        <v>302</v>
      </c>
      <c r="F8" s="439">
        <f t="shared" si="0"/>
        <v>628</v>
      </c>
      <c r="H8" s="444"/>
      <c r="I8" s="440">
        <f t="shared" si="1"/>
        <v>6</v>
      </c>
    </row>
    <row r="9" spans="1:22" s="446" customFormat="1" ht="15.5" x14ac:dyDescent="0.35">
      <c r="A9" s="351">
        <v>16</v>
      </c>
      <c r="B9" s="351" t="s">
        <v>208</v>
      </c>
      <c r="C9" s="437" t="s">
        <v>308</v>
      </c>
      <c r="D9" s="437"/>
      <c r="E9" s="441"/>
      <c r="F9" s="439"/>
      <c r="G9" s="445"/>
      <c r="H9" s="440"/>
      <c r="I9" s="440"/>
    </row>
    <row r="10" spans="1:22" s="303" customFormat="1" ht="15.5" x14ac:dyDescent="0.35">
      <c r="A10" s="351">
        <v>17</v>
      </c>
      <c r="B10" s="351" t="s">
        <v>167</v>
      </c>
      <c r="C10" s="437">
        <v>180</v>
      </c>
      <c r="D10" s="437">
        <v>181</v>
      </c>
      <c r="E10" s="441">
        <v>282</v>
      </c>
      <c r="F10" s="439">
        <f t="shared" si="0"/>
        <v>643</v>
      </c>
      <c r="G10" s="336"/>
      <c r="H10" s="440"/>
      <c r="I10" s="440">
        <f t="shared" si="1"/>
        <v>4</v>
      </c>
    </row>
    <row r="11" spans="1:22" s="303" customFormat="1" ht="15.5" x14ac:dyDescent="0.35">
      <c r="A11" s="351">
        <v>18</v>
      </c>
      <c r="B11" s="351" t="s">
        <v>209</v>
      </c>
      <c r="C11" s="437" t="s">
        <v>308</v>
      </c>
      <c r="D11" s="437"/>
      <c r="E11" s="441"/>
      <c r="F11" s="439"/>
      <c r="G11" s="336"/>
      <c r="H11" s="440"/>
      <c r="I11" s="440"/>
    </row>
    <row r="12" spans="1:22" s="303" customFormat="1" ht="15.5" x14ac:dyDescent="0.35">
      <c r="A12" s="351">
        <v>19</v>
      </c>
      <c r="B12" s="351" t="s">
        <v>170</v>
      </c>
      <c r="C12" s="437">
        <v>168</v>
      </c>
      <c r="D12" s="437">
        <v>173</v>
      </c>
      <c r="E12" s="441">
        <v>357</v>
      </c>
      <c r="F12" s="439">
        <f t="shared" si="0"/>
        <v>698</v>
      </c>
      <c r="G12" s="443"/>
      <c r="H12" s="440"/>
      <c r="I12" s="440">
        <f t="shared" si="1"/>
        <v>3</v>
      </c>
    </row>
    <row r="13" spans="1:22" s="303" customFormat="1" ht="15.5" x14ac:dyDescent="0.35">
      <c r="A13" s="351">
        <v>20</v>
      </c>
      <c r="B13" s="351" t="s">
        <v>166</v>
      </c>
      <c r="C13" s="437" t="s">
        <v>308</v>
      </c>
      <c r="D13" s="437"/>
      <c r="E13" s="441"/>
      <c r="F13" s="439"/>
      <c r="G13" s="443"/>
      <c r="H13" s="440"/>
      <c r="I13" s="440"/>
    </row>
    <row r="14" spans="1:22" s="303" customFormat="1" ht="15.5" x14ac:dyDescent="0.35">
      <c r="A14" s="351">
        <v>21</v>
      </c>
      <c r="B14" s="351" t="s">
        <v>165</v>
      </c>
      <c r="C14" s="437">
        <v>159</v>
      </c>
      <c r="D14" s="437">
        <v>160</v>
      </c>
      <c r="E14" s="441">
        <v>256</v>
      </c>
      <c r="F14" s="439">
        <f t="shared" si="0"/>
        <v>575</v>
      </c>
      <c r="G14" s="336"/>
      <c r="H14" s="440"/>
      <c r="I14" s="440">
        <f t="shared" si="1"/>
        <v>8</v>
      </c>
    </row>
    <row r="15" spans="1:22" s="303" customFormat="1" ht="15.5" x14ac:dyDescent="0.35">
      <c r="A15" s="351">
        <v>22</v>
      </c>
      <c r="B15" s="351" t="s">
        <v>172</v>
      </c>
      <c r="C15" s="437">
        <v>147</v>
      </c>
      <c r="D15" s="437">
        <v>153</v>
      </c>
      <c r="E15" s="441">
        <v>343</v>
      </c>
      <c r="F15" s="439">
        <f t="shared" si="0"/>
        <v>643</v>
      </c>
      <c r="G15" s="336"/>
      <c r="H15" s="440"/>
      <c r="I15" s="440">
        <f t="shared" si="1"/>
        <v>4</v>
      </c>
    </row>
    <row r="16" spans="1:22" s="303" customFormat="1" ht="15.5" x14ac:dyDescent="0.35">
      <c r="A16" s="351">
        <v>23</v>
      </c>
      <c r="B16" s="351" t="s">
        <v>210</v>
      </c>
      <c r="C16" s="437">
        <v>156</v>
      </c>
      <c r="D16" s="437">
        <v>157</v>
      </c>
      <c r="E16" s="441">
        <v>299</v>
      </c>
      <c r="F16" s="439">
        <f t="shared" si="0"/>
        <v>612</v>
      </c>
      <c r="G16" s="336"/>
      <c r="H16" s="440"/>
      <c r="I16" s="440">
        <f t="shared" si="1"/>
        <v>7</v>
      </c>
    </row>
    <row r="17" spans="1:9" s="303" customFormat="1" ht="15.5" x14ac:dyDescent="0.35">
      <c r="A17" s="351">
        <v>26</v>
      </c>
      <c r="B17" s="351" t="s">
        <v>169</v>
      </c>
      <c r="C17" s="437" t="s">
        <v>308</v>
      </c>
      <c r="D17" s="437"/>
      <c r="E17" s="441"/>
      <c r="F17" s="439"/>
      <c r="I17" s="440"/>
    </row>
    <row r="18" spans="1:9" s="303" customFormat="1" ht="15.5" x14ac:dyDescent="0.35">
      <c r="F18" s="447"/>
    </row>
    <row r="19" spans="1:9" s="303" customFormat="1" ht="15.5" x14ac:dyDescent="0.35">
      <c r="F19" s="447"/>
    </row>
    <row r="20" spans="1:9" s="303" customFormat="1" ht="15.5" x14ac:dyDescent="0.35">
      <c r="F20" s="447"/>
    </row>
    <row r="21" spans="1:9" ht="13" x14ac:dyDescent="0.3">
      <c r="F21" s="47"/>
    </row>
    <row r="22" spans="1:9" ht="13" x14ac:dyDescent="0.3">
      <c r="F22" s="47"/>
    </row>
    <row r="23" spans="1:9" ht="13" x14ac:dyDescent="0.3">
      <c r="F23" s="47"/>
    </row>
    <row r="24" spans="1:9" ht="13" x14ac:dyDescent="0.3">
      <c r="F24" s="47"/>
    </row>
    <row r="25" spans="1:9" ht="13" x14ac:dyDescent="0.3">
      <c r="F25" s="47"/>
    </row>
    <row r="26" spans="1:9" ht="13" x14ac:dyDescent="0.3">
      <c r="F26" s="47"/>
    </row>
    <row r="27" spans="1:9" ht="13" x14ac:dyDescent="0.3">
      <c r="F27" s="47"/>
    </row>
  </sheetData>
  <phoneticPr fontId="31" type="noConversion"/>
  <printOptions gridLines="1"/>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1"/>
  <sheetViews>
    <sheetView zoomScale="75" zoomScaleNormal="75" zoomScalePageLayoutView="85" workbookViewId="0">
      <pane xSplit="2" ySplit="3" topLeftCell="F4" activePane="bottomRight" state="frozen"/>
      <selection pane="topRight" activeCell="C1" sqref="C1"/>
      <selection pane="bottomLeft" activeCell="A3" sqref="A3"/>
      <selection pane="bottomRight" activeCell="F57" sqref="F57"/>
    </sheetView>
  </sheetViews>
  <sheetFormatPr defaultColWidth="10.81640625" defaultRowHeight="12.5" x14ac:dyDescent="0.25"/>
  <cols>
    <col min="1" max="1" width="12.1796875" style="100" bestFit="1" customWidth="1"/>
    <col min="2" max="2" width="18.453125" style="49" customWidth="1"/>
    <col min="3" max="3" width="12.6328125" style="100" bestFit="1" customWidth="1"/>
    <col min="4" max="4" width="16.90625" style="100" customWidth="1"/>
    <col min="5" max="5" width="23.453125" style="100" customWidth="1"/>
    <col min="6" max="6" width="20.1796875" style="141" bestFit="1" customWidth="1"/>
    <col min="7" max="7" width="14.90625" style="101" customWidth="1"/>
    <col min="8" max="8" width="14.90625" style="125" customWidth="1"/>
    <col min="9" max="10" width="18.1796875" style="100" customWidth="1"/>
    <col min="11" max="11" width="14.81640625" style="111" customWidth="1"/>
    <col min="12" max="12" width="10.81640625" style="100" customWidth="1"/>
    <col min="13" max="13" width="10.81640625" style="110" customWidth="1"/>
    <col min="14" max="14" width="15.1796875" style="110" customWidth="1"/>
    <col min="15" max="16" width="19.1796875" style="190" customWidth="1"/>
    <col min="17" max="17" width="10.81640625" style="100"/>
    <col min="18" max="18" width="10.81640625" style="109"/>
    <col min="19" max="16384" width="10.81640625" style="49"/>
  </cols>
  <sheetData>
    <row r="1" spans="1:20" s="187" customFormat="1" ht="18" x14ac:dyDescent="0.4">
      <c r="A1" s="262" t="s">
        <v>220</v>
      </c>
      <c r="C1" s="100"/>
      <c r="D1" s="100"/>
      <c r="E1" s="100"/>
      <c r="F1" s="141"/>
      <c r="G1" s="101"/>
      <c r="H1" s="125"/>
      <c r="I1" s="100"/>
      <c r="J1" s="100"/>
      <c r="K1" s="111"/>
      <c r="L1" s="100"/>
      <c r="M1" s="110"/>
      <c r="N1" s="110"/>
      <c r="O1" s="190"/>
      <c r="P1" s="190"/>
      <c r="Q1" s="100"/>
    </row>
    <row r="2" spans="1:20" s="187" customFormat="1" ht="17.5" x14ac:dyDescent="0.35">
      <c r="A2" s="168"/>
      <c r="C2" s="160"/>
      <c r="D2" s="160"/>
      <c r="E2" s="160"/>
      <c r="F2" s="141"/>
      <c r="G2" s="450"/>
      <c r="H2" s="125"/>
      <c r="I2" s="160"/>
      <c r="J2" s="160"/>
      <c r="K2" s="125"/>
      <c r="L2" s="160"/>
      <c r="M2" s="110"/>
      <c r="N2" s="110"/>
      <c r="O2" s="190"/>
      <c r="P2" s="190"/>
      <c r="Q2" s="100"/>
    </row>
    <row r="3" spans="1:20" ht="26.5" x14ac:dyDescent="0.4">
      <c r="A3" s="188" t="s">
        <v>141</v>
      </c>
      <c r="B3" s="188"/>
      <c r="C3" s="261">
        <v>11</v>
      </c>
      <c r="D3" s="261">
        <v>12</v>
      </c>
      <c r="E3" s="261">
        <v>13</v>
      </c>
      <c r="F3" s="261">
        <v>14</v>
      </c>
      <c r="G3" s="261">
        <v>15</v>
      </c>
      <c r="H3" s="261">
        <v>16</v>
      </c>
      <c r="I3" s="261">
        <v>17</v>
      </c>
      <c r="J3" s="261">
        <v>18</v>
      </c>
      <c r="K3" s="261">
        <v>19</v>
      </c>
      <c r="L3" s="261">
        <v>20</v>
      </c>
      <c r="M3" s="261">
        <v>21</v>
      </c>
      <c r="N3" s="261">
        <v>22</v>
      </c>
      <c r="O3" s="261">
        <v>23</v>
      </c>
      <c r="P3" s="261">
        <v>26</v>
      </c>
      <c r="R3" s="130"/>
      <c r="S3" s="102"/>
      <c r="T3" s="102"/>
    </row>
    <row r="4" spans="1:20" ht="56.5" x14ac:dyDescent="0.35">
      <c r="A4" s="229"/>
      <c r="B4" s="188"/>
      <c r="C4" s="489" t="s">
        <v>211</v>
      </c>
      <c r="D4" s="489" t="s">
        <v>212</v>
      </c>
      <c r="E4" s="489" t="s">
        <v>213</v>
      </c>
      <c r="F4" s="489" t="s">
        <v>200</v>
      </c>
      <c r="G4" s="489" t="s">
        <v>164</v>
      </c>
      <c r="H4" s="489" t="s">
        <v>208</v>
      </c>
      <c r="I4" s="490" t="s">
        <v>214</v>
      </c>
      <c r="J4" s="489" t="s">
        <v>197</v>
      </c>
      <c r="K4" s="489" t="s">
        <v>170</v>
      </c>
      <c r="L4" s="489" t="s">
        <v>215</v>
      </c>
      <c r="M4" s="489" t="s">
        <v>216</v>
      </c>
      <c r="N4" s="489" t="s">
        <v>217</v>
      </c>
      <c r="O4" s="489" t="s">
        <v>218</v>
      </c>
      <c r="P4" s="489" t="s">
        <v>169</v>
      </c>
      <c r="Q4" s="160"/>
      <c r="R4" s="130"/>
      <c r="S4" s="159"/>
      <c r="T4" s="159"/>
    </row>
    <row r="5" spans="1:20" s="170" customFormat="1" ht="13" x14ac:dyDescent="0.3">
      <c r="A5" s="186">
        <v>1</v>
      </c>
      <c r="B5" s="456" t="s">
        <v>242</v>
      </c>
      <c r="C5" s="453"/>
      <c r="D5" s="453">
        <v>76</v>
      </c>
      <c r="E5" s="453">
        <v>74</v>
      </c>
      <c r="F5" s="453">
        <v>84</v>
      </c>
      <c r="G5" s="453">
        <v>51</v>
      </c>
      <c r="H5" s="453">
        <v>25</v>
      </c>
      <c r="I5" s="453">
        <v>82</v>
      </c>
      <c r="J5" s="453">
        <v>61</v>
      </c>
      <c r="K5" s="453">
        <v>49</v>
      </c>
      <c r="L5" s="453">
        <v>87</v>
      </c>
      <c r="M5" s="453">
        <v>79</v>
      </c>
      <c r="N5" s="453">
        <v>47</v>
      </c>
      <c r="O5" s="454">
        <v>46</v>
      </c>
      <c r="P5" s="454">
        <v>57</v>
      </c>
      <c r="Q5" s="186">
        <f>COUNTA(C5:P5)</f>
        <v>13</v>
      </c>
      <c r="R5" s="169"/>
    </row>
    <row r="6" spans="1:20" ht="13" x14ac:dyDescent="0.3">
      <c r="A6" s="186">
        <f>A5+1</f>
        <v>2</v>
      </c>
      <c r="B6" s="457" t="s">
        <v>243</v>
      </c>
      <c r="C6" s="453"/>
      <c r="D6" s="453"/>
      <c r="E6" s="453"/>
      <c r="F6" s="453"/>
      <c r="G6" s="453"/>
      <c r="H6" s="453">
        <v>41</v>
      </c>
      <c r="I6" s="453">
        <v>76</v>
      </c>
      <c r="J6" s="453">
        <v>87</v>
      </c>
      <c r="K6" s="453">
        <v>59</v>
      </c>
      <c r="L6" s="453"/>
      <c r="M6" s="453"/>
      <c r="N6" s="453"/>
      <c r="O6" s="454"/>
      <c r="P6" s="454"/>
      <c r="Q6" s="186">
        <f t="shared" ref="Q6:Q55" si="0">COUNTA(C6:P6)</f>
        <v>4</v>
      </c>
      <c r="R6" s="130"/>
      <c r="S6" s="102"/>
      <c r="T6" s="102"/>
    </row>
    <row r="7" spans="1:20" ht="13" x14ac:dyDescent="0.3">
      <c r="A7" s="186">
        <f t="shared" ref="A7:A55" si="1">A6+1</f>
        <v>3</v>
      </c>
      <c r="B7" s="458" t="s">
        <v>244</v>
      </c>
      <c r="C7" s="453"/>
      <c r="D7" s="453"/>
      <c r="E7" s="453"/>
      <c r="F7" s="453"/>
      <c r="G7" s="453"/>
      <c r="H7" s="453"/>
      <c r="I7" s="453"/>
      <c r="J7" s="453"/>
      <c r="K7" s="453"/>
      <c r="L7" s="453"/>
      <c r="M7" s="453"/>
      <c r="N7" s="453"/>
      <c r="O7" s="454">
        <v>71</v>
      </c>
      <c r="P7" s="454"/>
      <c r="Q7" s="186">
        <f t="shared" si="0"/>
        <v>1</v>
      </c>
    </row>
    <row r="8" spans="1:20" ht="13" x14ac:dyDescent="0.3">
      <c r="A8" s="186">
        <f t="shared" si="1"/>
        <v>4</v>
      </c>
      <c r="B8" s="458" t="s">
        <v>245</v>
      </c>
      <c r="C8" s="453"/>
      <c r="D8" s="453"/>
      <c r="E8" s="453"/>
      <c r="F8" s="453"/>
      <c r="G8" s="453">
        <v>52</v>
      </c>
      <c r="H8" s="453">
        <v>16</v>
      </c>
      <c r="I8" s="453">
        <v>72</v>
      </c>
      <c r="J8" s="453">
        <v>69</v>
      </c>
      <c r="K8" s="453"/>
      <c r="L8" s="453"/>
      <c r="M8" s="453"/>
      <c r="N8" s="453"/>
      <c r="O8" s="454"/>
      <c r="P8" s="454"/>
      <c r="Q8" s="186">
        <f t="shared" si="0"/>
        <v>4</v>
      </c>
      <c r="R8" s="160"/>
      <c r="S8" s="159"/>
      <c r="T8" s="159"/>
    </row>
    <row r="9" spans="1:20" ht="13" x14ac:dyDescent="0.3">
      <c r="A9" s="186">
        <f t="shared" si="1"/>
        <v>5</v>
      </c>
      <c r="B9" s="458" t="s">
        <v>246</v>
      </c>
      <c r="C9" s="453">
        <v>18</v>
      </c>
      <c r="D9" s="453">
        <v>85</v>
      </c>
      <c r="E9" s="453">
        <v>57</v>
      </c>
      <c r="F9" s="453">
        <v>93</v>
      </c>
      <c r="G9" s="453">
        <v>31</v>
      </c>
      <c r="H9" s="453">
        <v>14</v>
      </c>
      <c r="I9" s="453">
        <v>94</v>
      </c>
      <c r="J9" s="453">
        <v>50</v>
      </c>
      <c r="K9" s="453">
        <v>33</v>
      </c>
      <c r="L9" s="453">
        <v>61</v>
      </c>
      <c r="M9" s="453">
        <v>97</v>
      </c>
      <c r="N9" s="453">
        <v>27</v>
      </c>
      <c r="O9" s="454">
        <v>35</v>
      </c>
      <c r="P9" s="454">
        <v>28</v>
      </c>
      <c r="Q9" s="186">
        <f t="shared" si="0"/>
        <v>14</v>
      </c>
      <c r="R9" s="130"/>
      <c r="S9" s="102"/>
      <c r="T9" s="122"/>
    </row>
    <row r="10" spans="1:20" s="102" customFormat="1" ht="13" x14ac:dyDescent="0.3">
      <c r="A10" s="186">
        <f t="shared" si="1"/>
        <v>6</v>
      </c>
      <c r="B10" s="458" t="s">
        <v>247</v>
      </c>
      <c r="C10" s="453"/>
      <c r="D10" s="453">
        <v>58</v>
      </c>
      <c r="E10" s="453">
        <v>34</v>
      </c>
      <c r="F10" s="453">
        <v>65</v>
      </c>
      <c r="G10" s="453"/>
      <c r="H10" s="453"/>
      <c r="I10" s="453"/>
      <c r="J10" s="453"/>
      <c r="K10" s="453"/>
      <c r="L10" s="453"/>
      <c r="M10" s="453"/>
      <c r="N10" s="453"/>
      <c r="O10" s="454"/>
      <c r="P10" s="454"/>
      <c r="Q10" s="186">
        <f t="shared" si="0"/>
        <v>3</v>
      </c>
      <c r="R10" s="130"/>
    </row>
    <row r="11" spans="1:20" ht="13" x14ac:dyDescent="0.3">
      <c r="A11" s="186">
        <f t="shared" si="1"/>
        <v>7</v>
      </c>
      <c r="B11" s="459" t="s">
        <v>248</v>
      </c>
      <c r="C11" s="453"/>
      <c r="D11" s="453"/>
      <c r="E11" s="453"/>
      <c r="F11" s="453"/>
      <c r="G11" s="453">
        <v>39</v>
      </c>
      <c r="H11" s="453">
        <v>30</v>
      </c>
      <c r="I11" s="453">
        <v>85</v>
      </c>
      <c r="J11" s="453">
        <v>49</v>
      </c>
      <c r="K11" s="453"/>
      <c r="L11" s="453"/>
      <c r="M11" s="453"/>
      <c r="N11" s="453"/>
      <c r="O11" s="454"/>
      <c r="P11" s="454"/>
      <c r="Q11" s="186">
        <f t="shared" si="0"/>
        <v>4</v>
      </c>
      <c r="R11" s="130"/>
      <c r="S11" s="159"/>
      <c r="T11" s="159"/>
    </row>
    <row r="12" spans="1:20" ht="13" x14ac:dyDescent="0.3">
      <c r="A12" s="186">
        <f t="shared" si="1"/>
        <v>8</v>
      </c>
      <c r="B12" s="459" t="s">
        <v>249</v>
      </c>
      <c r="C12" s="453"/>
      <c r="D12" s="453"/>
      <c r="E12" s="453"/>
      <c r="F12" s="453"/>
      <c r="G12" s="453"/>
      <c r="H12" s="453"/>
      <c r="I12" s="453"/>
      <c r="J12" s="453"/>
      <c r="K12" s="453"/>
      <c r="L12" s="453"/>
      <c r="M12" s="453"/>
      <c r="N12" s="453"/>
      <c r="O12" s="454">
        <v>40</v>
      </c>
      <c r="P12" s="454">
        <v>49</v>
      </c>
      <c r="Q12" s="186">
        <f t="shared" si="0"/>
        <v>2</v>
      </c>
      <c r="R12" s="130"/>
      <c r="S12" s="102"/>
      <c r="T12" s="102"/>
    </row>
    <row r="13" spans="1:20" ht="13" x14ac:dyDescent="0.3">
      <c r="A13" s="186">
        <f t="shared" si="1"/>
        <v>9</v>
      </c>
      <c r="B13" s="459" t="s">
        <v>250</v>
      </c>
      <c r="C13" s="453"/>
      <c r="D13" s="453">
        <v>61</v>
      </c>
      <c r="E13" s="453">
        <v>40</v>
      </c>
      <c r="F13" s="453">
        <v>67</v>
      </c>
      <c r="G13" s="453">
        <v>37</v>
      </c>
      <c r="H13" s="453"/>
      <c r="I13" s="453"/>
      <c r="J13" s="453">
        <v>43</v>
      </c>
      <c r="K13" s="453"/>
      <c r="L13" s="453">
        <v>71</v>
      </c>
      <c r="M13" s="453">
        <v>67</v>
      </c>
      <c r="N13" s="453">
        <v>35</v>
      </c>
      <c r="O13" s="454">
        <v>17</v>
      </c>
      <c r="P13" s="454"/>
      <c r="Q13" s="186">
        <f t="shared" si="0"/>
        <v>9</v>
      </c>
      <c r="R13" s="130"/>
      <c r="S13" s="159"/>
      <c r="T13" s="159"/>
    </row>
    <row r="14" spans="1:20" ht="13" x14ac:dyDescent="0.3">
      <c r="A14" s="186">
        <f t="shared" si="1"/>
        <v>10</v>
      </c>
      <c r="B14" s="459" t="s">
        <v>251</v>
      </c>
      <c r="C14" s="453"/>
      <c r="D14" s="453"/>
      <c r="E14" s="453"/>
      <c r="F14" s="453"/>
      <c r="G14" s="453"/>
      <c r="H14" s="453"/>
      <c r="I14" s="453"/>
      <c r="J14" s="453"/>
      <c r="K14" s="453"/>
      <c r="L14" s="453"/>
      <c r="M14" s="453"/>
      <c r="N14" s="453"/>
      <c r="O14" s="454">
        <v>63</v>
      </c>
      <c r="P14" s="454">
        <v>91</v>
      </c>
      <c r="Q14" s="186">
        <f t="shared" si="0"/>
        <v>2</v>
      </c>
      <c r="R14" s="130"/>
      <c r="S14" s="159"/>
      <c r="T14" s="159"/>
    </row>
    <row r="15" spans="1:20" ht="13" x14ac:dyDescent="0.3">
      <c r="A15" s="186">
        <f t="shared" si="1"/>
        <v>11</v>
      </c>
      <c r="B15" s="455" t="s">
        <v>252</v>
      </c>
      <c r="C15" s="453">
        <v>13</v>
      </c>
      <c r="D15" s="453"/>
      <c r="E15" s="453"/>
      <c r="F15" s="453"/>
      <c r="G15" s="453"/>
      <c r="H15" s="453"/>
      <c r="I15" s="453"/>
      <c r="J15" s="453"/>
      <c r="K15" s="453"/>
      <c r="L15" s="453"/>
      <c r="M15" s="453"/>
      <c r="N15" s="453"/>
      <c r="O15" s="454"/>
      <c r="P15" s="454"/>
      <c r="Q15" s="186">
        <f t="shared" si="0"/>
        <v>1</v>
      </c>
      <c r="R15" s="130"/>
      <c r="S15" s="102"/>
      <c r="T15" s="102"/>
    </row>
    <row r="16" spans="1:20" ht="13" x14ac:dyDescent="0.3">
      <c r="A16" s="186">
        <f t="shared" si="1"/>
        <v>12</v>
      </c>
      <c r="B16" s="459" t="s">
        <v>253</v>
      </c>
      <c r="C16" s="453"/>
      <c r="D16" s="453">
        <v>87</v>
      </c>
      <c r="E16" s="453">
        <v>90</v>
      </c>
      <c r="F16" s="453">
        <v>86</v>
      </c>
      <c r="G16" s="453"/>
      <c r="H16" s="453">
        <v>34</v>
      </c>
      <c r="I16" s="453">
        <v>82</v>
      </c>
      <c r="J16" s="453">
        <v>62</v>
      </c>
      <c r="K16" s="453">
        <v>48</v>
      </c>
      <c r="L16" s="453">
        <v>97</v>
      </c>
      <c r="M16" s="453">
        <v>86</v>
      </c>
      <c r="N16" s="453">
        <v>50</v>
      </c>
      <c r="O16" s="454">
        <v>44</v>
      </c>
      <c r="P16" s="454">
        <v>66</v>
      </c>
      <c r="Q16" s="186">
        <f t="shared" si="0"/>
        <v>12</v>
      </c>
      <c r="R16" s="130"/>
      <c r="S16" s="102"/>
      <c r="T16" s="102"/>
    </row>
    <row r="17" spans="1:21" ht="13" x14ac:dyDescent="0.3">
      <c r="A17" s="186">
        <f t="shared" si="1"/>
        <v>13</v>
      </c>
      <c r="B17" s="455" t="s">
        <v>254</v>
      </c>
      <c r="C17" s="453"/>
      <c r="D17" s="453"/>
      <c r="E17" s="453"/>
      <c r="F17" s="453"/>
      <c r="G17" s="453">
        <v>57</v>
      </c>
      <c r="H17" s="453">
        <v>20</v>
      </c>
      <c r="I17" s="453"/>
      <c r="J17" s="453"/>
      <c r="K17" s="453"/>
      <c r="L17" s="453"/>
      <c r="M17" s="453"/>
      <c r="N17" s="453"/>
      <c r="O17" s="454"/>
      <c r="P17" s="454"/>
      <c r="Q17" s="186">
        <f t="shared" si="0"/>
        <v>2</v>
      </c>
      <c r="R17" s="130"/>
      <c r="S17" s="102"/>
      <c r="T17" s="102"/>
    </row>
    <row r="18" spans="1:21" ht="13" x14ac:dyDescent="0.3">
      <c r="A18" s="186">
        <f t="shared" si="1"/>
        <v>14</v>
      </c>
      <c r="B18" s="458" t="s">
        <v>255</v>
      </c>
      <c r="C18" s="453"/>
      <c r="D18" s="453"/>
      <c r="E18" s="453"/>
      <c r="F18" s="453"/>
      <c r="G18" s="453"/>
      <c r="H18" s="453"/>
      <c r="I18" s="453"/>
      <c r="J18" s="453"/>
      <c r="K18" s="453"/>
      <c r="L18" s="453"/>
      <c r="M18" s="453"/>
      <c r="N18" s="453">
        <v>22</v>
      </c>
      <c r="O18" s="454"/>
      <c r="P18" s="454"/>
      <c r="Q18" s="186">
        <f t="shared" si="0"/>
        <v>1</v>
      </c>
      <c r="R18" s="130"/>
      <c r="S18" s="102"/>
      <c r="T18" s="102"/>
    </row>
    <row r="19" spans="1:21" ht="13" x14ac:dyDescent="0.3">
      <c r="A19" s="186">
        <f t="shared" si="1"/>
        <v>15</v>
      </c>
      <c r="B19" s="459" t="s">
        <v>256</v>
      </c>
      <c r="C19" s="453"/>
      <c r="D19" s="453"/>
      <c r="E19" s="453">
        <v>25</v>
      </c>
      <c r="F19" s="453"/>
      <c r="G19" s="453">
        <v>51</v>
      </c>
      <c r="H19" s="453">
        <v>10</v>
      </c>
      <c r="I19" s="453"/>
      <c r="J19" s="453"/>
      <c r="K19" s="453">
        <v>31</v>
      </c>
      <c r="L19" s="453">
        <v>83</v>
      </c>
      <c r="M19" s="453"/>
      <c r="N19" s="453">
        <v>42</v>
      </c>
      <c r="O19" s="454">
        <v>22</v>
      </c>
      <c r="P19" s="454">
        <v>41</v>
      </c>
      <c r="Q19" s="186">
        <f t="shared" si="0"/>
        <v>8</v>
      </c>
      <c r="R19" s="130"/>
      <c r="S19" s="102"/>
      <c r="T19" s="102"/>
    </row>
    <row r="20" spans="1:21" ht="13" x14ac:dyDescent="0.3">
      <c r="A20" s="186">
        <f t="shared" si="1"/>
        <v>16</v>
      </c>
      <c r="B20" s="459" t="s">
        <v>257</v>
      </c>
      <c r="C20" s="453"/>
      <c r="D20" s="453"/>
      <c r="E20" s="453"/>
      <c r="F20" s="453"/>
      <c r="G20" s="453"/>
      <c r="H20" s="453"/>
      <c r="I20" s="453"/>
      <c r="J20" s="453"/>
      <c r="K20" s="453"/>
      <c r="L20" s="453"/>
      <c r="M20" s="453"/>
      <c r="N20" s="453"/>
      <c r="O20" s="454">
        <v>40</v>
      </c>
      <c r="P20" s="454">
        <v>41</v>
      </c>
      <c r="Q20" s="186">
        <f t="shared" si="0"/>
        <v>2</v>
      </c>
      <c r="R20" s="130"/>
      <c r="S20" s="102"/>
      <c r="T20" s="102"/>
    </row>
    <row r="21" spans="1:21" ht="13" x14ac:dyDescent="0.3">
      <c r="A21" s="186">
        <f t="shared" si="1"/>
        <v>17</v>
      </c>
      <c r="B21" s="458" t="s">
        <v>258</v>
      </c>
      <c r="C21" s="453">
        <v>16</v>
      </c>
      <c r="D21" s="453">
        <v>52</v>
      </c>
      <c r="E21" s="453">
        <v>10</v>
      </c>
      <c r="F21" s="453">
        <v>54</v>
      </c>
      <c r="G21" s="453"/>
      <c r="H21" s="453">
        <v>25</v>
      </c>
      <c r="I21" s="453"/>
      <c r="J21" s="453">
        <v>45</v>
      </c>
      <c r="K21" s="453"/>
      <c r="L21" s="453"/>
      <c r="M21" s="453"/>
      <c r="N21" s="453"/>
      <c r="O21" s="454">
        <v>35</v>
      </c>
      <c r="P21" s="454"/>
      <c r="Q21" s="186">
        <f t="shared" si="0"/>
        <v>7</v>
      </c>
      <c r="R21" s="130"/>
      <c r="S21" s="102"/>
      <c r="T21" s="102"/>
    </row>
    <row r="22" spans="1:21" ht="13" x14ac:dyDescent="0.3">
      <c r="A22" s="186">
        <f t="shared" si="1"/>
        <v>18</v>
      </c>
      <c r="B22" s="458" t="s">
        <v>259</v>
      </c>
      <c r="C22" s="453"/>
      <c r="D22" s="453"/>
      <c r="E22" s="453"/>
      <c r="F22" s="453"/>
      <c r="G22" s="453">
        <v>46</v>
      </c>
      <c r="H22" s="453">
        <v>14</v>
      </c>
      <c r="I22" s="453">
        <v>83</v>
      </c>
      <c r="J22" s="453">
        <v>41</v>
      </c>
      <c r="K22" s="453"/>
      <c r="L22" s="453"/>
      <c r="M22" s="453"/>
      <c r="N22" s="453"/>
      <c r="O22" s="454"/>
      <c r="P22" s="454"/>
      <c r="Q22" s="186">
        <f t="shared" si="0"/>
        <v>4</v>
      </c>
      <c r="R22" s="130"/>
      <c r="S22" s="159"/>
      <c r="T22" s="159"/>
    </row>
    <row r="23" spans="1:21" ht="13" x14ac:dyDescent="0.3">
      <c r="A23" s="186">
        <f t="shared" si="1"/>
        <v>19</v>
      </c>
      <c r="B23" s="458" t="s">
        <v>260</v>
      </c>
      <c r="C23" s="453"/>
      <c r="D23" s="453"/>
      <c r="E23" s="453"/>
      <c r="F23" s="453"/>
      <c r="G23" s="453"/>
      <c r="H23" s="453"/>
      <c r="I23" s="453">
        <v>80</v>
      </c>
      <c r="J23" s="453">
        <v>73</v>
      </c>
      <c r="K23" s="453"/>
      <c r="L23" s="453"/>
      <c r="M23" s="453"/>
      <c r="N23" s="453"/>
      <c r="O23" s="454"/>
      <c r="P23" s="454"/>
      <c r="Q23" s="186">
        <f t="shared" si="0"/>
        <v>2</v>
      </c>
      <c r="R23" s="130"/>
      <c r="S23" s="159"/>
      <c r="T23" s="159"/>
    </row>
    <row r="24" spans="1:21" ht="13" x14ac:dyDescent="0.3">
      <c r="A24" s="186">
        <f t="shared" si="1"/>
        <v>20</v>
      </c>
      <c r="B24" s="455" t="s">
        <v>261</v>
      </c>
      <c r="C24" s="453"/>
      <c r="D24" s="453"/>
      <c r="E24" s="453"/>
      <c r="F24" s="453"/>
      <c r="G24" s="453"/>
      <c r="H24" s="453"/>
      <c r="I24" s="453"/>
      <c r="J24" s="453"/>
      <c r="K24" s="453"/>
      <c r="L24" s="453"/>
      <c r="M24" s="453"/>
      <c r="N24" s="453"/>
      <c r="O24" s="454"/>
      <c r="P24" s="454">
        <v>83</v>
      </c>
      <c r="Q24" s="186">
        <f t="shared" si="0"/>
        <v>1</v>
      </c>
    </row>
    <row r="25" spans="1:21" ht="13" x14ac:dyDescent="0.3">
      <c r="A25" s="186">
        <f t="shared" si="1"/>
        <v>21</v>
      </c>
      <c r="B25" s="458" t="s">
        <v>262</v>
      </c>
      <c r="C25" s="453"/>
      <c r="D25" s="453"/>
      <c r="E25" s="453"/>
      <c r="F25" s="453"/>
      <c r="G25" s="453">
        <v>56</v>
      </c>
      <c r="H25" s="453">
        <v>7</v>
      </c>
      <c r="I25" s="453">
        <v>74</v>
      </c>
      <c r="J25" s="453">
        <v>28</v>
      </c>
      <c r="K25" s="453"/>
      <c r="L25" s="453"/>
      <c r="M25" s="453">
        <v>90</v>
      </c>
      <c r="N25" s="453"/>
      <c r="O25" s="454"/>
      <c r="P25" s="454"/>
      <c r="Q25" s="186">
        <f t="shared" si="0"/>
        <v>5</v>
      </c>
      <c r="R25" s="130"/>
      <c r="S25" s="159"/>
      <c r="T25" s="159"/>
    </row>
    <row r="26" spans="1:21" ht="13" x14ac:dyDescent="0.3">
      <c r="A26" s="186">
        <f t="shared" si="1"/>
        <v>22</v>
      </c>
      <c r="B26" s="458" t="s">
        <v>263</v>
      </c>
      <c r="C26" s="453"/>
      <c r="D26" s="453"/>
      <c r="E26" s="453"/>
      <c r="F26" s="453"/>
      <c r="G26" s="453"/>
      <c r="H26" s="453"/>
      <c r="I26" s="453"/>
      <c r="J26" s="453"/>
      <c r="K26" s="453">
        <v>43</v>
      </c>
      <c r="L26" s="453">
        <v>76</v>
      </c>
      <c r="M26" s="453">
        <v>71</v>
      </c>
      <c r="N26" s="453">
        <v>67</v>
      </c>
      <c r="O26" s="454"/>
      <c r="P26" s="454"/>
      <c r="Q26" s="186">
        <f t="shared" si="0"/>
        <v>4</v>
      </c>
    </row>
    <row r="27" spans="1:21" ht="13" x14ac:dyDescent="0.3">
      <c r="A27" s="186">
        <f t="shared" si="1"/>
        <v>23</v>
      </c>
      <c r="B27" s="458" t="s">
        <v>264</v>
      </c>
      <c r="C27" s="453"/>
      <c r="D27" s="453"/>
      <c r="E27" s="453"/>
      <c r="F27" s="453"/>
      <c r="G27" s="453"/>
      <c r="H27" s="453"/>
      <c r="I27" s="453"/>
      <c r="J27" s="453"/>
      <c r="K27" s="453"/>
      <c r="L27" s="453"/>
      <c r="M27" s="453"/>
      <c r="N27" s="453"/>
      <c r="O27" s="454">
        <v>56</v>
      </c>
      <c r="P27" s="454">
        <v>70</v>
      </c>
      <c r="Q27" s="186">
        <f t="shared" si="0"/>
        <v>2</v>
      </c>
      <c r="R27" s="130"/>
      <c r="S27" s="102"/>
      <c r="T27" s="102"/>
    </row>
    <row r="28" spans="1:21" ht="13" x14ac:dyDescent="0.3">
      <c r="A28" s="186">
        <f t="shared" si="1"/>
        <v>24</v>
      </c>
      <c r="B28" s="455" t="s">
        <v>265</v>
      </c>
      <c r="C28" s="453"/>
      <c r="D28" s="453">
        <v>55</v>
      </c>
      <c r="E28" s="453"/>
      <c r="F28" s="453"/>
      <c r="G28" s="453"/>
      <c r="H28" s="453"/>
      <c r="I28" s="453">
        <v>74</v>
      </c>
      <c r="J28" s="453"/>
      <c r="K28" s="453"/>
      <c r="L28" s="453"/>
      <c r="M28" s="453"/>
      <c r="N28" s="453">
        <v>42</v>
      </c>
      <c r="O28" s="454"/>
      <c r="P28" s="454"/>
      <c r="Q28" s="186">
        <f t="shared" si="0"/>
        <v>3</v>
      </c>
      <c r="R28" s="130"/>
      <c r="S28" s="102"/>
      <c r="T28" s="102"/>
    </row>
    <row r="29" spans="1:21" ht="13" x14ac:dyDescent="0.3">
      <c r="A29" s="186">
        <f t="shared" si="1"/>
        <v>25</v>
      </c>
      <c r="B29" s="458" t="s">
        <v>266</v>
      </c>
      <c r="C29" s="453">
        <v>72</v>
      </c>
      <c r="D29" s="453"/>
      <c r="E29" s="453"/>
      <c r="F29" s="453"/>
      <c r="G29" s="453"/>
      <c r="H29" s="453"/>
      <c r="I29" s="453"/>
      <c r="J29" s="453"/>
      <c r="K29" s="453"/>
      <c r="L29" s="453">
        <v>94</v>
      </c>
      <c r="M29" s="453"/>
      <c r="N29" s="453">
        <v>87</v>
      </c>
      <c r="O29" s="454"/>
      <c r="P29" s="454"/>
      <c r="Q29" s="186">
        <f t="shared" si="0"/>
        <v>3</v>
      </c>
      <c r="R29" s="130"/>
      <c r="S29" s="102"/>
      <c r="T29" s="102"/>
    </row>
    <row r="30" spans="1:21" ht="13" x14ac:dyDescent="0.3">
      <c r="A30" s="186">
        <f t="shared" si="1"/>
        <v>26</v>
      </c>
      <c r="B30" s="458" t="s">
        <v>267</v>
      </c>
      <c r="C30" s="453"/>
      <c r="D30" s="453">
        <v>57</v>
      </c>
      <c r="E30" s="453">
        <v>0</v>
      </c>
      <c r="F30" s="453">
        <v>26</v>
      </c>
      <c r="G30" s="453">
        <v>60</v>
      </c>
      <c r="H30" s="453"/>
      <c r="I30" s="453"/>
      <c r="J30" s="453"/>
      <c r="K30" s="453"/>
      <c r="L30" s="453"/>
      <c r="M30" s="453"/>
      <c r="N30" s="453"/>
      <c r="O30" s="454"/>
      <c r="P30" s="454"/>
      <c r="Q30" s="186">
        <f t="shared" si="0"/>
        <v>4</v>
      </c>
      <c r="R30" s="130"/>
      <c r="S30" s="102"/>
      <c r="T30" s="102"/>
      <c r="U30" s="159"/>
    </row>
    <row r="31" spans="1:21" ht="13" x14ac:dyDescent="0.3">
      <c r="A31" s="186">
        <f t="shared" si="1"/>
        <v>27</v>
      </c>
      <c r="B31" s="458" t="s">
        <v>268</v>
      </c>
      <c r="C31" s="453"/>
      <c r="D31" s="453"/>
      <c r="E31" s="453"/>
      <c r="F31" s="453"/>
      <c r="G31" s="453"/>
      <c r="H31" s="453"/>
      <c r="I31" s="453"/>
      <c r="J31" s="453"/>
      <c r="K31" s="453"/>
      <c r="L31" s="453">
        <v>80</v>
      </c>
      <c r="M31" s="453">
        <v>77</v>
      </c>
      <c r="N31" s="453">
        <v>60</v>
      </c>
      <c r="O31" s="454">
        <v>54</v>
      </c>
      <c r="P31" s="454"/>
      <c r="Q31" s="186">
        <f t="shared" si="0"/>
        <v>4</v>
      </c>
      <c r="R31" s="130"/>
      <c r="S31" s="102"/>
      <c r="T31" s="102"/>
      <c r="U31" s="139"/>
    </row>
    <row r="32" spans="1:21" ht="13" x14ac:dyDescent="0.3">
      <c r="A32" s="186">
        <f t="shared" si="1"/>
        <v>28</v>
      </c>
      <c r="B32" s="458" t="s">
        <v>269</v>
      </c>
      <c r="C32" s="453"/>
      <c r="D32" s="453"/>
      <c r="E32" s="453"/>
      <c r="F32" s="453"/>
      <c r="G32" s="453"/>
      <c r="H32" s="453"/>
      <c r="I32" s="453"/>
      <c r="J32" s="453"/>
      <c r="K32" s="453"/>
      <c r="L32" s="453"/>
      <c r="M32" s="453"/>
      <c r="N32" s="453"/>
      <c r="O32" s="454"/>
      <c r="P32" s="454">
        <v>86</v>
      </c>
      <c r="Q32" s="186">
        <f t="shared" si="0"/>
        <v>1</v>
      </c>
      <c r="R32" s="130"/>
      <c r="S32" s="159"/>
      <c r="T32" s="159"/>
      <c r="U32" s="139"/>
    </row>
    <row r="33" spans="1:18" ht="13" x14ac:dyDescent="0.3">
      <c r="A33" s="186">
        <f t="shared" si="1"/>
        <v>29</v>
      </c>
      <c r="B33" s="455" t="s">
        <v>270</v>
      </c>
      <c r="C33" s="453"/>
      <c r="D33" s="453"/>
      <c r="E33" s="453">
        <v>91</v>
      </c>
      <c r="F33" s="453">
        <v>97</v>
      </c>
      <c r="G33" s="453"/>
      <c r="H33" s="453"/>
      <c r="I33" s="453"/>
      <c r="J33" s="453"/>
      <c r="K33" s="453"/>
      <c r="L33" s="453"/>
      <c r="M33" s="453"/>
      <c r="N33" s="453"/>
      <c r="O33" s="454"/>
      <c r="P33" s="454"/>
      <c r="Q33" s="186">
        <f t="shared" si="0"/>
        <v>2</v>
      </c>
    </row>
    <row r="34" spans="1:18" ht="13" x14ac:dyDescent="0.3">
      <c r="A34" s="186">
        <f t="shared" si="1"/>
        <v>30</v>
      </c>
      <c r="B34" s="461" t="s">
        <v>271</v>
      </c>
      <c r="C34" s="453"/>
      <c r="D34" s="453"/>
      <c r="E34" s="453"/>
      <c r="F34" s="453"/>
      <c r="G34" s="453"/>
      <c r="H34" s="453"/>
      <c r="I34" s="453"/>
      <c r="J34" s="453"/>
      <c r="K34" s="453"/>
      <c r="L34" s="453"/>
      <c r="M34" s="453"/>
      <c r="N34" s="453"/>
      <c r="O34" s="454">
        <v>58</v>
      </c>
      <c r="P34" s="454">
        <v>66</v>
      </c>
      <c r="Q34" s="186">
        <f t="shared" si="0"/>
        <v>2</v>
      </c>
    </row>
    <row r="35" spans="1:18" ht="13" x14ac:dyDescent="0.3">
      <c r="A35" s="186">
        <f t="shared" si="1"/>
        <v>31</v>
      </c>
      <c r="B35" s="458" t="s">
        <v>272</v>
      </c>
      <c r="C35" s="453"/>
      <c r="D35" s="453"/>
      <c r="E35" s="453"/>
      <c r="F35" s="453"/>
      <c r="G35" s="453"/>
      <c r="H35" s="453"/>
      <c r="I35" s="453"/>
      <c r="J35" s="453"/>
      <c r="K35" s="453"/>
      <c r="L35" s="453"/>
      <c r="M35" s="453">
        <v>85</v>
      </c>
      <c r="N35" s="453"/>
      <c r="O35" s="454"/>
      <c r="P35" s="454"/>
      <c r="Q35" s="186">
        <f t="shared" si="0"/>
        <v>1</v>
      </c>
    </row>
    <row r="36" spans="1:18" ht="13" x14ac:dyDescent="0.3">
      <c r="A36" s="186">
        <f t="shared" si="1"/>
        <v>32</v>
      </c>
      <c r="B36" s="458" t="s">
        <v>273</v>
      </c>
      <c r="C36" s="453"/>
      <c r="D36" s="453">
        <v>84</v>
      </c>
      <c r="E36" s="453">
        <v>70</v>
      </c>
      <c r="F36" s="453">
        <v>80</v>
      </c>
      <c r="G36" s="453">
        <v>62</v>
      </c>
      <c r="H36" s="453"/>
      <c r="I36" s="453"/>
      <c r="J36" s="453"/>
      <c r="K36" s="453"/>
      <c r="L36" s="453"/>
      <c r="M36" s="453"/>
      <c r="N36" s="453"/>
      <c r="O36" s="454"/>
      <c r="P36" s="454"/>
      <c r="Q36" s="186">
        <f t="shared" si="0"/>
        <v>4</v>
      </c>
    </row>
    <row r="37" spans="1:18" ht="13" x14ac:dyDescent="0.3">
      <c r="A37" s="186">
        <f t="shared" si="1"/>
        <v>33</v>
      </c>
      <c r="B37" s="458" t="s">
        <v>274</v>
      </c>
      <c r="C37" s="453"/>
      <c r="D37" s="453"/>
      <c r="E37" s="453"/>
      <c r="F37" s="453"/>
      <c r="G37" s="453"/>
      <c r="H37" s="453"/>
      <c r="I37" s="453"/>
      <c r="J37" s="453"/>
      <c r="K37" s="453"/>
      <c r="L37" s="453">
        <v>83</v>
      </c>
      <c r="M37" s="453">
        <v>87</v>
      </c>
      <c r="N37" s="453">
        <v>73</v>
      </c>
      <c r="O37" s="454"/>
      <c r="P37" s="454"/>
      <c r="Q37" s="186">
        <f t="shared" si="0"/>
        <v>3</v>
      </c>
    </row>
    <row r="38" spans="1:18" ht="13" x14ac:dyDescent="0.3">
      <c r="A38" s="186">
        <f t="shared" si="1"/>
        <v>34</v>
      </c>
      <c r="B38" s="458" t="s">
        <v>305</v>
      </c>
      <c r="C38" s="453">
        <v>26</v>
      </c>
      <c r="D38" s="453">
        <v>54</v>
      </c>
      <c r="E38" s="453">
        <v>34</v>
      </c>
      <c r="F38" s="453">
        <v>66</v>
      </c>
      <c r="G38" s="453">
        <v>48</v>
      </c>
      <c r="H38" s="453">
        <v>25</v>
      </c>
      <c r="I38" s="453">
        <v>69</v>
      </c>
      <c r="J38" s="453">
        <v>56</v>
      </c>
      <c r="K38" s="453">
        <v>33</v>
      </c>
      <c r="L38" s="453">
        <v>82</v>
      </c>
      <c r="M38" s="453">
        <v>63</v>
      </c>
      <c r="N38" s="453">
        <v>39</v>
      </c>
      <c r="O38" s="454">
        <v>39</v>
      </c>
      <c r="P38" s="454">
        <v>45</v>
      </c>
      <c r="Q38" s="186">
        <f t="shared" si="0"/>
        <v>14</v>
      </c>
    </row>
    <row r="39" spans="1:18" ht="13" x14ac:dyDescent="0.3">
      <c r="A39" s="186">
        <f t="shared" si="1"/>
        <v>35</v>
      </c>
      <c r="B39" s="458"/>
      <c r="C39" s="453"/>
      <c r="D39" s="453"/>
      <c r="E39" s="453"/>
      <c r="F39" s="453"/>
      <c r="G39" s="453"/>
      <c r="H39" s="453"/>
      <c r="I39" s="453"/>
      <c r="J39" s="453"/>
      <c r="K39" s="453"/>
      <c r="L39" s="453"/>
      <c r="M39" s="453"/>
      <c r="N39" s="453"/>
      <c r="O39" s="454"/>
      <c r="P39" s="454"/>
      <c r="Q39" s="186">
        <f t="shared" si="0"/>
        <v>0</v>
      </c>
    </row>
    <row r="40" spans="1:18" ht="13" x14ac:dyDescent="0.3">
      <c r="A40" s="186">
        <f t="shared" si="1"/>
        <v>36</v>
      </c>
      <c r="B40" s="460"/>
      <c r="C40" s="453"/>
      <c r="D40" s="453"/>
      <c r="E40" s="453"/>
      <c r="F40" s="453"/>
      <c r="G40" s="453"/>
      <c r="H40" s="453"/>
      <c r="I40" s="453"/>
      <c r="J40" s="453"/>
      <c r="K40" s="453"/>
      <c r="L40" s="453"/>
      <c r="M40" s="453"/>
      <c r="N40" s="453"/>
      <c r="O40" s="454"/>
      <c r="P40" s="454"/>
      <c r="Q40" s="186">
        <f t="shared" si="0"/>
        <v>0</v>
      </c>
    </row>
    <row r="41" spans="1:18" s="170" customFormat="1" ht="13" x14ac:dyDescent="0.3">
      <c r="A41" s="186">
        <f t="shared" si="1"/>
        <v>37</v>
      </c>
      <c r="B41" s="458"/>
      <c r="C41" s="453"/>
      <c r="D41" s="453"/>
      <c r="E41" s="453"/>
      <c r="F41" s="453"/>
      <c r="G41" s="453"/>
      <c r="H41" s="453"/>
      <c r="I41" s="453"/>
      <c r="J41" s="453"/>
      <c r="K41" s="453"/>
      <c r="L41" s="453"/>
      <c r="M41" s="453"/>
      <c r="N41" s="453"/>
      <c r="O41" s="454"/>
      <c r="P41" s="454"/>
      <c r="Q41" s="186">
        <f t="shared" si="0"/>
        <v>0</v>
      </c>
      <c r="R41" s="169"/>
    </row>
    <row r="42" spans="1:18" ht="13" x14ac:dyDescent="0.3">
      <c r="A42" s="186">
        <f t="shared" si="1"/>
        <v>38</v>
      </c>
      <c r="B42" s="458"/>
      <c r="C42" s="453"/>
      <c r="D42" s="453"/>
      <c r="E42" s="453"/>
      <c r="F42" s="453"/>
      <c r="G42" s="453"/>
      <c r="H42" s="453"/>
      <c r="I42" s="453"/>
      <c r="J42" s="453"/>
      <c r="K42" s="453"/>
      <c r="L42" s="453"/>
      <c r="M42" s="453"/>
      <c r="N42" s="453"/>
      <c r="O42" s="454"/>
      <c r="P42" s="454"/>
      <c r="Q42" s="186">
        <f t="shared" si="0"/>
        <v>0</v>
      </c>
    </row>
    <row r="43" spans="1:18" ht="13" x14ac:dyDescent="0.3">
      <c r="A43" s="186">
        <f t="shared" si="1"/>
        <v>39</v>
      </c>
      <c r="B43" s="458"/>
      <c r="C43" s="453"/>
      <c r="D43" s="453"/>
      <c r="E43" s="453"/>
      <c r="F43" s="453"/>
      <c r="G43" s="453"/>
      <c r="H43" s="453"/>
      <c r="I43" s="453"/>
      <c r="J43" s="453"/>
      <c r="K43" s="453"/>
      <c r="L43" s="453"/>
      <c r="M43" s="453"/>
      <c r="N43" s="453"/>
      <c r="O43" s="454"/>
      <c r="P43" s="454"/>
      <c r="Q43" s="186">
        <f t="shared" si="0"/>
        <v>0</v>
      </c>
    </row>
    <row r="44" spans="1:18" ht="13" x14ac:dyDescent="0.3">
      <c r="A44" s="186">
        <f t="shared" si="1"/>
        <v>40</v>
      </c>
      <c r="B44" s="458"/>
      <c r="C44" s="453"/>
      <c r="D44" s="453"/>
      <c r="E44" s="453"/>
      <c r="F44" s="453"/>
      <c r="G44" s="453"/>
      <c r="H44" s="453"/>
      <c r="I44" s="453"/>
      <c r="J44" s="453"/>
      <c r="K44" s="453"/>
      <c r="L44" s="453"/>
      <c r="M44" s="453"/>
      <c r="N44" s="453"/>
      <c r="O44" s="454"/>
      <c r="P44" s="454"/>
      <c r="Q44" s="186">
        <f t="shared" si="0"/>
        <v>0</v>
      </c>
    </row>
    <row r="45" spans="1:18" ht="13" x14ac:dyDescent="0.3">
      <c r="A45" s="186">
        <f t="shared" si="1"/>
        <v>41</v>
      </c>
      <c r="B45" s="458"/>
      <c r="C45" s="453"/>
      <c r="D45" s="453"/>
      <c r="E45" s="453"/>
      <c r="F45" s="453"/>
      <c r="G45" s="453"/>
      <c r="H45" s="453"/>
      <c r="I45" s="453"/>
      <c r="J45" s="453"/>
      <c r="K45" s="453"/>
      <c r="L45" s="453"/>
      <c r="M45" s="453"/>
      <c r="N45" s="453"/>
      <c r="O45" s="454"/>
      <c r="P45" s="454"/>
      <c r="Q45" s="186">
        <f t="shared" si="0"/>
        <v>0</v>
      </c>
    </row>
    <row r="46" spans="1:18" ht="13" x14ac:dyDescent="0.3">
      <c r="A46" s="186">
        <f t="shared" si="1"/>
        <v>42</v>
      </c>
      <c r="B46" s="458"/>
      <c r="C46" s="453"/>
      <c r="D46" s="453"/>
      <c r="E46" s="453"/>
      <c r="F46" s="453"/>
      <c r="G46" s="453"/>
      <c r="H46" s="453"/>
      <c r="I46" s="453"/>
      <c r="J46" s="453"/>
      <c r="K46" s="453"/>
      <c r="L46" s="453"/>
      <c r="M46" s="453"/>
      <c r="N46" s="453"/>
      <c r="O46" s="454"/>
      <c r="P46" s="454"/>
      <c r="Q46" s="186">
        <f t="shared" si="0"/>
        <v>0</v>
      </c>
    </row>
    <row r="47" spans="1:18" s="159" customFormat="1" ht="13" x14ac:dyDescent="0.3">
      <c r="A47" s="186">
        <f t="shared" si="1"/>
        <v>43</v>
      </c>
      <c r="B47" s="458"/>
      <c r="C47" s="453"/>
      <c r="D47" s="453"/>
      <c r="E47" s="453"/>
      <c r="F47" s="453"/>
      <c r="G47" s="453"/>
      <c r="H47" s="453"/>
      <c r="I47" s="453"/>
      <c r="J47" s="453"/>
      <c r="K47" s="453"/>
      <c r="L47" s="453"/>
      <c r="M47" s="453"/>
      <c r="N47" s="453"/>
      <c r="O47" s="454"/>
      <c r="P47" s="454"/>
      <c r="Q47" s="186">
        <f t="shared" si="0"/>
        <v>0</v>
      </c>
      <c r="R47" s="130"/>
    </row>
    <row r="48" spans="1:18" ht="13" x14ac:dyDescent="0.3">
      <c r="A48" s="186">
        <f t="shared" si="1"/>
        <v>44</v>
      </c>
      <c r="B48" s="458"/>
      <c r="C48" s="453"/>
      <c r="D48" s="453"/>
      <c r="E48" s="453"/>
      <c r="F48" s="453"/>
      <c r="G48" s="453"/>
      <c r="H48" s="453"/>
      <c r="I48" s="453"/>
      <c r="J48" s="453"/>
      <c r="K48" s="453"/>
      <c r="L48" s="453"/>
      <c r="M48" s="453"/>
      <c r="N48" s="453"/>
      <c r="O48" s="454"/>
      <c r="P48" s="454"/>
      <c r="Q48" s="186">
        <f t="shared" si="0"/>
        <v>0</v>
      </c>
    </row>
    <row r="49" spans="1:18" ht="13" x14ac:dyDescent="0.3">
      <c r="A49" s="186">
        <f t="shared" si="1"/>
        <v>45</v>
      </c>
      <c r="B49" s="458"/>
      <c r="C49" s="453"/>
      <c r="D49" s="453"/>
      <c r="E49" s="453"/>
      <c r="F49" s="453"/>
      <c r="G49" s="453"/>
      <c r="H49" s="453"/>
      <c r="I49" s="453"/>
      <c r="J49" s="453"/>
      <c r="K49" s="453"/>
      <c r="L49" s="453"/>
      <c r="M49" s="453"/>
      <c r="N49" s="453"/>
      <c r="O49" s="454"/>
      <c r="P49" s="454"/>
      <c r="Q49" s="186">
        <f t="shared" si="0"/>
        <v>0</v>
      </c>
    </row>
    <row r="50" spans="1:18" ht="13" x14ac:dyDescent="0.3">
      <c r="A50" s="186">
        <f t="shared" si="1"/>
        <v>46</v>
      </c>
      <c r="B50" s="458"/>
      <c r="C50" s="453"/>
      <c r="D50" s="453"/>
      <c r="E50" s="453"/>
      <c r="F50" s="453"/>
      <c r="G50" s="453"/>
      <c r="H50" s="453"/>
      <c r="I50" s="453"/>
      <c r="J50" s="453"/>
      <c r="K50" s="453"/>
      <c r="L50" s="453"/>
      <c r="M50" s="453"/>
      <c r="N50" s="453"/>
      <c r="O50" s="454"/>
      <c r="P50" s="454"/>
      <c r="Q50" s="186">
        <f t="shared" si="0"/>
        <v>0</v>
      </c>
    </row>
    <row r="51" spans="1:18" ht="13" x14ac:dyDescent="0.3">
      <c r="A51" s="186">
        <f t="shared" si="1"/>
        <v>47</v>
      </c>
      <c r="B51" s="458"/>
      <c r="C51" s="453"/>
      <c r="D51" s="453"/>
      <c r="E51" s="453"/>
      <c r="F51" s="453"/>
      <c r="G51" s="453"/>
      <c r="H51" s="453"/>
      <c r="I51" s="453"/>
      <c r="J51" s="453"/>
      <c r="K51" s="453"/>
      <c r="L51" s="453"/>
      <c r="M51" s="453"/>
      <c r="N51" s="453"/>
      <c r="O51" s="454"/>
      <c r="P51" s="454"/>
      <c r="Q51" s="186">
        <f t="shared" si="0"/>
        <v>0</v>
      </c>
    </row>
    <row r="52" spans="1:18" ht="13" x14ac:dyDescent="0.3">
      <c r="A52" s="186">
        <f t="shared" si="1"/>
        <v>48</v>
      </c>
      <c r="B52" s="458"/>
      <c r="C52" s="453"/>
      <c r="D52" s="453"/>
      <c r="E52" s="453"/>
      <c r="F52" s="453"/>
      <c r="G52" s="453"/>
      <c r="H52" s="453"/>
      <c r="I52" s="453"/>
      <c r="J52" s="453"/>
      <c r="K52" s="453"/>
      <c r="L52" s="453"/>
      <c r="M52" s="453"/>
      <c r="N52" s="453"/>
      <c r="O52" s="454"/>
      <c r="P52" s="454"/>
      <c r="Q52" s="186">
        <f t="shared" si="0"/>
        <v>0</v>
      </c>
    </row>
    <row r="53" spans="1:18" ht="13" x14ac:dyDescent="0.3">
      <c r="A53" s="186">
        <f t="shared" si="1"/>
        <v>49</v>
      </c>
      <c r="B53" s="458"/>
      <c r="C53" s="453"/>
      <c r="D53" s="453"/>
      <c r="E53" s="453"/>
      <c r="F53" s="453"/>
      <c r="G53" s="453"/>
      <c r="H53" s="453"/>
      <c r="I53" s="453"/>
      <c r="J53" s="453"/>
      <c r="K53" s="453"/>
      <c r="L53" s="453"/>
      <c r="M53" s="453"/>
      <c r="N53" s="453"/>
      <c r="O53" s="454"/>
      <c r="P53" s="454"/>
      <c r="Q53" s="186">
        <f t="shared" si="0"/>
        <v>0</v>
      </c>
    </row>
    <row r="54" spans="1:18" ht="13" x14ac:dyDescent="0.3">
      <c r="A54" s="186">
        <f t="shared" si="1"/>
        <v>50</v>
      </c>
      <c r="B54" s="458"/>
      <c r="C54" s="451"/>
      <c r="D54" s="451"/>
      <c r="E54" s="451"/>
      <c r="F54" s="451"/>
      <c r="G54" s="451"/>
      <c r="H54" s="451"/>
      <c r="I54" s="451"/>
      <c r="J54" s="451"/>
      <c r="K54" s="451"/>
      <c r="L54" s="451"/>
      <c r="M54" s="451"/>
      <c r="N54" s="451"/>
      <c r="O54" s="452"/>
      <c r="P54" s="452"/>
      <c r="Q54" s="186">
        <f t="shared" si="0"/>
        <v>0</v>
      </c>
    </row>
    <row r="55" spans="1:18" ht="13" x14ac:dyDescent="0.3">
      <c r="A55" s="186">
        <f t="shared" si="1"/>
        <v>51</v>
      </c>
      <c r="B55" s="458" t="s">
        <v>306</v>
      </c>
      <c r="C55" s="451">
        <f>COUNTA(C5:C38)</f>
        <v>5</v>
      </c>
      <c r="D55" s="451">
        <f t="shared" ref="D55:P55" si="2">COUNTA(D5:D38)</f>
        <v>10</v>
      </c>
      <c r="E55" s="451">
        <f t="shared" si="2"/>
        <v>11</v>
      </c>
      <c r="F55" s="451">
        <f t="shared" si="2"/>
        <v>10</v>
      </c>
      <c r="G55" s="451">
        <f t="shared" si="2"/>
        <v>12</v>
      </c>
      <c r="H55" s="451">
        <f t="shared" si="2"/>
        <v>12</v>
      </c>
      <c r="I55" s="451">
        <f t="shared" si="2"/>
        <v>11</v>
      </c>
      <c r="J55" s="451">
        <f t="shared" si="2"/>
        <v>12</v>
      </c>
      <c r="K55" s="451">
        <f t="shared" si="2"/>
        <v>7</v>
      </c>
      <c r="L55" s="451">
        <f t="shared" si="2"/>
        <v>10</v>
      </c>
      <c r="M55" s="451">
        <f t="shared" si="2"/>
        <v>10</v>
      </c>
      <c r="N55" s="451">
        <f t="shared" si="2"/>
        <v>12</v>
      </c>
      <c r="O55" s="451">
        <f t="shared" si="2"/>
        <v>14</v>
      </c>
      <c r="P55" s="451">
        <f t="shared" si="2"/>
        <v>12</v>
      </c>
      <c r="Q55" s="186">
        <f t="shared" si="0"/>
        <v>14</v>
      </c>
    </row>
    <row r="57" spans="1:18" x14ac:dyDescent="0.25">
      <c r="A57" s="160" t="s">
        <v>65</v>
      </c>
      <c r="C57" s="171">
        <f>AVERAGE(C5:C38)</f>
        <v>29</v>
      </c>
      <c r="D57" s="171">
        <f t="shared" ref="D57:P57" si="3">AVERAGE(D5:D38)</f>
        <v>66.900000000000006</v>
      </c>
      <c r="E57" s="171">
        <f t="shared" si="3"/>
        <v>47.727272727272727</v>
      </c>
      <c r="F57" s="171">
        <f t="shared" si="3"/>
        <v>71.8</v>
      </c>
      <c r="G57" s="171">
        <f t="shared" si="3"/>
        <v>49.166666666666664</v>
      </c>
      <c r="H57" s="171">
        <f t="shared" si="3"/>
        <v>21.75</v>
      </c>
      <c r="I57" s="171">
        <f t="shared" si="3"/>
        <v>79.181818181818187</v>
      </c>
      <c r="J57" s="171">
        <f t="shared" si="3"/>
        <v>55.333333333333336</v>
      </c>
      <c r="K57" s="171">
        <f t="shared" si="3"/>
        <v>42.285714285714285</v>
      </c>
      <c r="L57" s="171">
        <f t="shared" si="3"/>
        <v>81.400000000000006</v>
      </c>
      <c r="M57" s="171">
        <f t="shared" si="3"/>
        <v>80.2</v>
      </c>
      <c r="N57" s="171">
        <f t="shared" si="3"/>
        <v>49.25</v>
      </c>
      <c r="O57" s="171">
        <f t="shared" si="3"/>
        <v>44.285714285714285</v>
      </c>
      <c r="P57" s="171">
        <f t="shared" si="3"/>
        <v>60.25</v>
      </c>
    </row>
    <row r="58" spans="1:18" x14ac:dyDescent="0.25">
      <c r="A58" s="160" t="s">
        <v>47</v>
      </c>
      <c r="B58" s="159" t="s">
        <v>239</v>
      </c>
      <c r="C58" s="171">
        <f>IF(C57&lt;5, 5,C57)</f>
        <v>29</v>
      </c>
      <c r="D58" s="171">
        <f t="shared" ref="D58:L58" si="4">IF(D57&lt;5, 5,D57)</f>
        <v>66.900000000000006</v>
      </c>
      <c r="E58" s="171">
        <f t="shared" si="4"/>
        <v>47.727272727272727</v>
      </c>
      <c r="F58" s="171">
        <f t="shared" si="4"/>
        <v>71.8</v>
      </c>
      <c r="G58" s="171">
        <f t="shared" si="4"/>
        <v>49.166666666666664</v>
      </c>
      <c r="H58" s="171">
        <f t="shared" si="4"/>
        <v>21.75</v>
      </c>
      <c r="I58" s="171">
        <f t="shared" si="4"/>
        <v>79.181818181818187</v>
      </c>
      <c r="J58" s="171">
        <f t="shared" si="4"/>
        <v>55.333333333333336</v>
      </c>
      <c r="K58" s="171">
        <f t="shared" si="4"/>
        <v>42.285714285714285</v>
      </c>
      <c r="L58" s="171">
        <f t="shared" si="4"/>
        <v>81.400000000000006</v>
      </c>
      <c r="M58" s="171">
        <f>IF(M57&lt;5, 5,M57)</f>
        <v>80.2</v>
      </c>
      <c r="N58" s="171">
        <f>IF(N57&lt;5, 5,N57)</f>
        <v>49.25</v>
      </c>
      <c r="O58" s="171">
        <f>IF(O57&lt;5, 5,O57)</f>
        <v>44.285714285714285</v>
      </c>
      <c r="P58" s="171">
        <f>IF(P57&lt;5, 5,P57)</f>
        <v>60.25</v>
      </c>
    </row>
    <row r="59" spans="1:18" x14ac:dyDescent="0.25">
      <c r="M59" s="100"/>
      <c r="O59" s="191"/>
      <c r="P59" s="191"/>
      <c r="R59" s="159" t="s">
        <v>115</v>
      </c>
    </row>
    <row r="60" spans="1:18" x14ac:dyDescent="0.25">
      <c r="A60" s="160"/>
      <c r="B60" s="159" t="s">
        <v>199</v>
      </c>
      <c r="C60" s="160">
        <f>RANK(C57,$C$57:$P$57)</f>
        <v>13</v>
      </c>
      <c r="D60" s="160">
        <f t="shared" ref="D60:P60" si="5">RANK(D57,$C$57:$P$57)</f>
        <v>5</v>
      </c>
      <c r="E60" s="160">
        <f t="shared" si="5"/>
        <v>10</v>
      </c>
      <c r="F60" s="160">
        <f t="shared" si="5"/>
        <v>4</v>
      </c>
      <c r="G60" s="160">
        <f t="shared" si="5"/>
        <v>9</v>
      </c>
      <c r="H60" s="160">
        <f t="shared" si="5"/>
        <v>14</v>
      </c>
      <c r="I60" s="160">
        <f t="shared" si="5"/>
        <v>3</v>
      </c>
      <c r="J60" s="160">
        <f t="shared" si="5"/>
        <v>7</v>
      </c>
      <c r="K60" s="160">
        <f t="shared" si="5"/>
        <v>12</v>
      </c>
      <c r="L60" s="160">
        <f t="shared" si="5"/>
        <v>1</v>
      </c>
      <c r="M60" s="160">
        <f t="shared" si="5"/>
        <v>2</v>
      </c>
      <c r="N60" s="160">
        <f t="shared" si="5"/>
        <v>8</v>
      </c>
      <c r="O60" s="160">
        <f t="shared" si="5"/>
        <v>11</v>
      </c>
      <c r="P60" s="160">
        <f t="shared" si="5"/>
        <v>6</v>
      </c>
      <c r="R60" s="159" t="s">
        <v>116</v>
      </c>
    </row>
    <row r="61" spans="1:18" x14ac:dyDescent="0.25">
      <c r="B61" s="160"/>
      <c r="C61" s="160"/>
      <c r="D61" s="160"/>
      <c r="E61" s="160"/>
      <c r="F61" s="160"/>
      <c r="G61" s="160"/>
      <c r="H61" s="160"/>
      <c r="I61" s="160"/>
      <c r="J61" s="160"/>
      <c r="K61" s="160"/>
      <c r="L61" s="160"/>
      <c r="M61" s="160"/>
      <c r="N61" s="160"/>
      <c r="O61" s="137"/>
      <c r="P61" s="137"/>
    </row>
  </sheetData>
  <phoneticPr fontId="31" type="noConversion"/>
  <printOptions gridLines="1"/>
  <pageMargins left="0.75" right="0.75" top="1" bottom="1" header="0.5" footer="0.5"/>
  <pageSetup scale="4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5"/>
  <sheetViews>
    <sheetView zoomScale="75" workbookViewId="0">
      <selection activeCell="C5" sqref="C5:C18"/>
    </sheetView>
  </sheetViews>
  <sheetFormatPr defaultColWidth="8.81640625" defaultRowHeight="12.5" x14ac:dyDescent="0.25"/>
  <cols>
    <col min="2" max="2" width="53.81640625" customWidth="1"/>
    <col min="3" max="3" width="15.54296875" customWidth="1"/>
  </cols>
  <sheetData>
    <row r="1" spans="1:4" ht="18" x14ac:dyDescent="0.4">
      <c r="B1" s="231" t="s">
        <v>221</v>
      </c>
      <c r="C1" s="6"/>
      <c r="D1" s="6"/>
    </row>
    <row r="2" spans="1:4" x14ac:dyDescent="0.25">
      <c r="B2" s="6"/>
      <c r="C2" s="6"/>
      <c r="D2" s="6"/>
    </row>
    <row r="3" spans="1:4" x14ac:dyDescent="0.25">
      <c r="B3" s="6"/>
      <c r="C3" s="6"/>
      <c r="D3" s="6"/>
    </row>
    <row r="4" spans="1:4" ht="13" x14ac:dyDescent="0.3">
      <c r="B4" s="21"/>
      <c r="C4" s="20" t="s">
        <v>9</v>
      </c>
      <c r="D4" s="18"/>
    </row>
    <row r="5" spans="1:4" s="239" customFormat="1" ht="18.5" x14ac:dyDescent="0.45">
      <c r="A5" s="346">
        <v>11</v>
      </c>
      <c r="B5" s="346" t="s">
        <v>168</v>
      </c>
      <c r="C5" s="347">
        <v>50</v>
      </c>
    </row>
    <row r="6" spans="1:4" s="239" customFormat="1" ht="18.5" x14ac:dyDescent="0.45">
      <c r="A6" s="346">
        <v>12</v>
      </c>
      <c r="B6" s="346" t="s">
        <v>171</v>
      </c>
      <c r="C6" s="347">
        <v>50</v>
      </c>
    </row>
    <row r="7" spans="1:4" s="239" customFormat="1" ht="18.5" x14ac:dyDescent="0.45">
      <c r="A7" s="346">
        <v>13</v>
      </c>
      <c r="B7" s="346" t="s">
        <v>173</v>
      </c>
      <c r="C7" s="347">
        <v>50</v>
      </c>
    </row>
    <row r="8" spans="1:4" s="305" customFormat="1" ht="18.5" x14ac:dyDescent="0.45">
      <c r="A8" s="346">
        <v>14</v>
      </c>
      <c r="B8" s="346" t="s">
        <v>198</v>
      </c>
      <c r="C8" s="347">
        <v>50</v>
      </c>
    </row>
    <row r="9" spans="1:4" s="239" customFormat="1" ht="18.5" x14ac:dyDescent="0.45">
      <c r="A9" s="346">
        <v>15</v>
      </c>
      <c r="B9" s="346" t="s">
        <v>164</v>
      </c>
      <c r="C9" s="347">
        <v>50</v>
      </c>
    </row>
    <row r="10" spans="1:4" s="239" customFormat="1" ht="18.5" x14ac:dyDescent="0.45">
      <c r="A10" s="346">
        <v>16</v>
      </c>
      <c r="B10" s="346" t="s">
        <v>208</v>
      </c>
      <c r="C10" s="347">
        <v>50</v>
      </c>
    </row>
    <row r="11" spans="1:4" s="239" customFormat="1" ht="18.5" x14ac:dyDescent="0.45">
      <c r="A11" s="346">
        <v>17</v>
      </c>
      <c r="B11" s="346" t="s">
        <v>167</v>
      </c>
      <c r="C11" s="347">
        <v>50</v>
      </c>
    </row>
    <row r="12" spans="1:4" s="239" customFormat="1" ht="18.5" x14ac:dyDescent="0.45">
      <c r="A12" s="346">
        <v>18</v>
      </c>
      <c r="B12" s="346" t="s">
        <v>209</v>
      </c>
      <c r="C12" s="347">
        <v>50</v>
      </c>
    </row>
    <row r="13" spans="1:4" s="239" customFormat="1" ht="18.5" x14ac:dyDescent="0.45">
      <c r="A13" s="346">
        <v>19</v>
      </c>
      <c r="B13" s="346" t="s">
        <v>170</v>
      </c>
      <c r="C13" s="347">
        <v>50</v>
      </c>
    </row>
    <row r="14" spans="1:4" s="344" customFormat="1" ht="18.5" x14ac:dyDescent="0.45">
      <c r="A14" s="346">
        <v>20</v>
      </c>
      <c r="B14" s="346" t="s">
        <v>166</v>
      </c>
      <c r="C14" s="347">
        <v>50</v>
      </c>
    </row>
    <row r="15" spans="1:4" s="239" customFormat="1" ht="18.5" x14ac:dyDescent="0.45">
      <c r="A15" s="346">
        <v>21</v>
      </c>
      <c r="B15" s="346" t="s">
        <v>165</v>
      </c>
      <c r="C15" s="347">
        <v>50</v>
      </c>
    </row>
    <row r="16" spans="1:4" s="239" customFormat="1" ht="18.5" x14ac:dyDescent="0.45">
      <c r="A16" s="346">
        <v>22</v>
      </c>
      <c r="B16" s="346" t="s">
        <v>172</v>
      </c>
      <c r="C16" s="347">
        <v>50</v>
      </c>
    </row>
    <row r="17" spans="1:3" s="239" customFormat="1" ht="18.5" x14ac:dyDescent="0.45">
      <c r="A17" s="346">
        <v>23</v>
      </c>
      <c r="B17" s="346" t="s">
        <v>210</v>
      </c>
      <c r="C17" s="347">
        <v>50</v>
      </c>
    </row>
    <row r="18" spans="1:3" s="239" customFormat="1" ht="18.5" x14ac:dyDescent="0.45">
      <c r="A18" s="346">
        <v>26</v>
      </c>
      <c r="B18" s="346" t="s">
        <v>169</v>
      </c>
      <c r="C18" s="347">
        <v>50</v>
      </c>
    </row>
    <row r="19" spans="1:3" s="239" customFormat="1" ht="17.5" x14ac:dyDescent="0.35"/>
    <row r="20" spans="1:3" s="239" customFormat="1" ht="17.5" x14ac:dyDescent="0.35">
      <c r="B20" s="345"/>
    </row>
    <row r="21" spans="1:3" x14ac:dyDescent="0.25">
      <c r="B21" s="19"/>
    </row>
    <row r="22" spans="1:3" x14ac:dyDescent="0.25">
      <c r="B22" s="19"/>
      <c r="C22" s="159" t="s">
        <v>123</v>
      </c>
    </row>
    <row r="23" spans="1:3" x14ac:dyDescent="0.25">
      <c r="B23" s="19"/>
    </row>
    <row r="24" spans="1:3" x14ac:dyDescent="0.25">
      <c r="B24" s="19"/>
    </row>
    <row r="25" spans="1:3" x14ac:dyDescent="0.25">
      <c r="B25" s="19"/>
    </row>
  </sheetData>
  <phoneticPr fontId="31" type="noConversion"/>
  <printOptions gridLines="1"/>
  <pageMargins left="0.75" right="0.75" top="1" bottom="1" header="0.5" footer="0.5"/>
  <pageSetup scale="9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5"/>
  <sheetViews>
    <sheetView zoomScale="70" zoomScaleNormal="70" workbookViewId="0">
      <selection activeCell="I2" sqref="I1:I2"/>
    </sheetView>
  </sheetViews>
  <sheetFormatPr defaultColWidth="8.81640625" defaultRowHeight="12.5" x14ac:dyDescent="0.25"/>
  <cols>
    <col min="2" max="2" width="54.81640625" customWidth="1"/>
    <col min="3" max="3" width="12.1796875" bestFit="1" customWidth="1"/>
    <col min="4" max="4" width="15.81640625" customWidth="1"/>
    <col min="5" max="5" width="9.1796875" hidden="1" customWidth="1"/>
    <col min="6" max="6" width="13.1796875" style="122" customWidth="1"/>
    <col min="8" max="8" width="16.453125" hidden="1" customWidth="1"/>
    <col min="9" max="9" width="18.36328125" customWidth="1"/>
    <col min="10" max="10" width="20.1796875" customWidth="1"/>
    <col min="11" max="11" width="22.81640625" customWidth="1"/>
    <col min="14" max="14" width="14" customWidth="1"/>
    <col min="15" max="15" width="94.90625" customWidth="1"/>
  </cols>
  <sheetData>
    <row r="1" spans="1:16" ht="18" x14ac:dyDescent="0.4">
      <c r="B1" s="231" t="s">
        <v>312</v>
      </c>
      <c r="C1" s="6"/>
      <c r="D1" s="6"/>
      <c r="E1" s="6"/>
    </row>
    <row r="2" spans="1:16" s="49" customFormat="1" x14ac:dyDescent="0.25">
      <c r="B2" s="30"/>
      <c r="C2" s="30"/>
      <c r="D2" s="30"/>
      <c r="E2" s="30"/>
      <c r="F2" s="122"/>
    </row>
    <row r="3" spans="1:16" s="49" customFormat="1" x14ac:dyDescent="0.25">
      <c r="B3" s="30"/>
      <c r="C3" s="50"/>
      <c r="D3" s="58"/>
      <c r="E3" s="30"/>
      <c r="F3" s="122"/>
    </row>
    <row r="4" spans="1:16" s="49" customFormat="1" x14ac:dyDescent="0.25">
      <c r="B4" s="30"/>
      <c r="C4" s="50"/>
      <c r="D4" s="58"/>
      <c r="E4" s="30"/>
      <c r="F4" s="122"/>
    </row>
    <row r="5" spans="1:16" s="49" customFormat="1" ht="18" x14ac:dyDescent="0.4">
      <c r="B5" s="21"/>
      <c r="C5" s="21"/>
      <c r="D5" s="21"/>
      <c r="E5" s="30"/>
      <c r="F5" s="122"/>
      <c r="I5" s="161"/>
    </row>
    <row r="6" spans="1:16" s="303" customFormat="1" ht="46.5" x14ac:dyDescent="0.35">
      <c r="B6" s="428" t="s">
        <v>97</v>
      </c>
      <c r="C6" s="428"/>
      <c r="D6" s="428" t="s">
        <v>62</v>
      </c>
      <c r="E6" s="428"/>
      <c r="F6" s="429" t="s">
        <v>117</v>
      </c>
      <c r="G6" s="429"/>
      <c r="H6" s="429"/>
      <c r="I6" s="429" t="s">
        <v>94</v>
      </c>
      <c r="J6" s="429" t="s">
        <v>95</v>
      </c>
      <c r="K6" s="429" t="s">
        <v>96</v>
      </c>
      <c r="L6" s="429"/>
      <c r="M6" s="429" t="s">
        <v>120</v>
      </c>
      <c r="N6" s="429" t="s">
        <v>26</v>
      </c>
      <c r="O6" s="475" t="s">
        <v>276</v>
      </c>
    </row>
    <row r="7" spans="1:16" s="303" customFormat="1" ht="15.5" x14ac:dyDescent="0.35">
      <c r="A7" s="351">
        <v>11</v>
      </c>
      <c r="B7" s="351" t="s">
        <v>168</v>
      </c>
      <c r="C7" s="351"/>
      <c r="D7" s="472">
        <v>12835.71</v>
      </c>
      <c r="E7" s="430"/>
      <c r="F7" s="431">
        <f t="shared" ref="F7:F18" si="0">-($C$25*D7)+$C$26</f>
        <v>15.142690528710151</v>
      </c>
      <c r="G7" s="432"/>
      <c r="H7" s="351"/>
      <c r="I7" s="473">
        <v>5</v>
      </c>
      <c r="J7" s="473">
        <v>5</v>
      </c>
      <c r="K7" s="473">
        <v>5</v>
      </c>
      <c r="L7" s="432"/>
      <c r="M7" s="432">
        <f>IF(SUM(F7:K7)&lt;2.5,2.5,SUM(F7:K7))</f>
        <v>30.142690528710151</v>
      </c>
      <c r="N7" s="352">
        <f>RANK(M7,$M$7:$M$20)</f>
        <v>11</v>
      </c>
      <c r="O7" s="476" t="s">
        <v>277</v>
      </c>
    </row>
    <row r="8" spans="1:16" s="303" customFormat="1" ht="15.5" x14ac:dyDescent="0.35">
      <c r="A8" s="351">
        <v>12</v>
      </c>
      <c r="B8" s="351" t="s">
        <v>171</v>
      </c>
      <c r="C8" s="351"/>
      <c r="D8" s="472">
        <v>18437.685000000001</v>
      </c>
      <c r="E8" s="433"/>
      <c r="F8" s="431">
        <f t="shared" si="0"/>
        <v>1.6156139188009462</v>
      </c>
      <c r="G8" s="432"/>
      <c r="H8" s="351"/>
      <c r="I8" s="473">
        <v>9</v>
      </c>
      <c r="J8" s="473">
        <v>8</v>
      </c>
      <c r="K8" s="473">
        <v>7</v>
      </c>
      <c r="L8" s="432"/>
      <c r="M8" s="432">
        <f t="shared" ref="M8:M16" si="1">IF(SUM(F8:K8)&lt;2.5,2.5,SUM(F8:K8))</f>
        <v>25.615613918800946</v>
      </c>
      <c r="N8" s="352">
        <f t="shared" ref="N8:N20" si="2">RANK(M8,$M$7:$M$20)</f>
        <v>12</v>
      </c>
      <c r="O8" s="476" t="s">
        <v>278</v>
      </c>
    </row>
    <row r="9" spans="1:16" s="303" customFormat="1" ht="15.5" x14ac:dyDescent="0.35">
      <c r="A9" s="351">
        <v>13</v>
      </c>
      <c r="B9" s="351" t="s">
        <v>173</v>
      </c>
      <c r="C9" s="351"/>
      <c r="D9" s="472">
        <v>13402</v>
      </c>
      <c r="E9" s="434"/>
      <c r="F9" s="431">
        <f t="shared" si="0"/>
        <v>13.775271321479579</v>
      </c>
      <c r="G9" s="432"/>
      <c r="H9" s="351"/>
      <c r="I9" s="473">
        <v>8</v>
      </c>
      <c r="J9" s="473">
        <v>6</v>
      </c>
      <c r="K9" s="474">
        <v>9</v>
      </c>
      <c r="L9" s="432"/>
      <c r="M9" s="432">
        <f t="shared" si="1"/>
        <v>36.775271321479579</v>
      </c>
      <c r="N9" s="352">
        <f t="shared" si="2"/>
        <v>3</v>
      </c>
      <c r="O9" s="476" t="s">
        <v>279</v>
      </c>
    </row>
    <row r="10" spans="1:16" s="304" customFormat="1" ht="15.5" x14ac:dyDescent="0.35">
      <c r="A10" s="351">
        <v>14</v>
      </c>
      <c r="B10" s="351" t="s">
        <v>198</v>
      </c>
      <c r="C10" s="351"/>
      <c r="D10" s="472">
        <v>15569</v>
      </c>
      <c r="E10" s="434"/>
      <c r="F10" s="431">
        <f t="shared" si="0"/>
        <v>8.5426212268837887</v>
      </c>
      <c r="G10" s="432"/>
      <c r="H10" s="351"/>
      <c r="I10" s="473">
        <v>10</v>
      </c>
      <c r="J10" s="473">
        <v>8</v>
      </c>
      <c r="K10" s="473">
        <v>10</v>
      </c>
      <c r="L10" s="432"/>
      <c r="M10" s="432">
        <f t="shared" si="1"/>
        <v>36.542621226883789</v>
      </c>
      <c r="N10" s="352">
        <f t="shared" si="2"/>
        <v>4</v>
      </c>
      <c r="O10" s="476" t="s">
        <v>280</v>
      </c>
    </row>
    <row r="11" spans="1:16" s="304" customFormat="1" ht="31" x14ac:dyDescent="0.35">
      <c r="A11" s="351">
        <v>15</v>
      </c>
      <c r="B11" s="351" t="s">
        <v>164</v>
      </c>
      <c r="C11" s="351"/>
      <c r="D11" s="472">
        <v>15938.97</v>
      </c>
      <c r="E11" s="434"/>
      <c r="F11" s="431">
        <f t="shared" si="0"/>
        <v>7.6492554883062169</v>
      </c>
      <c r="G11" s="432"/>
      <c r="H11" s="351"/>
      <c r="I11" s="473">
        <v>10</v>
      </c>
      <c r="J11" s="473">
        <v>9</v>
      </c>
      <c r="K11" s="473">
        <v>8</v>
      </c>
      <c r="L11" s="432"/>
      <c r="M11" s="432">
        <f t="shared" si="1"/>
        <v>34.649255488306217</v>
      </c>
      <c r="N11" s="352">
        <f t="shared" si="2"/>
        <v>9</v>
      </c>
      <c r="O11" s="476" t="s">
        <v>281</v>
      </c>
    </row>
    <row r="12" spans="1:16" s="304" customFormat="1" ht="31" x14ac:dyDescent="0.35">
      <c r="A12" s="351">
        <v>16</v>
      </c>
      <c r="B12" s="351" t="s">
        <v>208</v>
      </c>
      <c r="C12" s="351"/>
      <c r="D12" s="472">
        <v>19106.759999999998</v>
      </c>
      <c r="E12" s="434"/>
      <c r="F12" s="431">
        <f t="shared" si="0"/>
        <v>0</v>
      </c>
      <c r="G12" s="432"/>
      <c r="H12" s="351"/>
      <c r="I12" s="473">
        <v>10</v>
      </c>
      <c r="J12" s="473">
        <v>3</v>
      </c>
      <c r="K12" s="473">
        <v>5</v>
      </c>
      <c r="L12" s="432"/>
      <c r="M12" s="432">
        <f t="shared" si="1"/>
        <v>18</v>
      </c>
      <c r="N12" s="352">
        <f t="shared" si="2"/>
        <v>14</v>
      </c>
      <c r="O12" s="476" t="s">
        <v>282</v>
      </c>
    </row>
    <row r="13" spans="1:16" s="303" customFormat="1" ht="46.5" x14ac:dyDescent="0.35">
      <c r="A13" s="351">
        <v>17</v>
      </c>
      <c r="B13" s="351" t="s">
        <v>167</v>
      </c>
      <c r="C13" s="351"/>
      <c r="D13" s="472">
        <v>14231.82</v>
      </c>
      <c r="E13" s="430"/>
      <c r="F13" s="431">
        <f t="shared" si="0"/>
        <v>11.771506807636719</v>
      </c>
      <c r="G13" s="432"/>
      <c r="H13" s="351"/>
      <c r="I13" s="473">
        <v>8</v>
      </c>
      <c r="J13" s="473">
        <v>8</v>
      </c>
      <c r="K13" s="473">
        <v>6</v>
      </c>
      <c r="L13" s="432"/>
      <c r="M13" s="432">
        <f t="shared" si="1"/>
        <v>33.771506807636719</v>
      </c>
      <c r="N13" s="352">
        <f t="shared" si="2"/>
        <v>10</v>
      </c>
      <c r="O13" s="476" t="s">
        <v>283</v>
      </c>
      <c r="P13" s="304"/>
    </row>
    <row r="14" spans="1:16" s="303" customFormat="1" ht="31" x14ac:dyDescent="0.35">
      <c r="A14" s="351">
        <v>18</v>
      </c>
      <c r="B14" s="351" t="s">
        <v>209</v>
      </c>
      <c r="C14" s="351"/>
      <c r="D14" s="472">
        <v>13502</v>
      </c>
      <c r="E14" s="430"/>
      <c r="F14" s="431">
        <f t="shared" si="0"/>
        <v>13.533801543233352</v>
      </c>
      <c r="G14" s="432"/>
      <c r="H14" s="351"/>
      <c r="I14" s="473">
        <v>10</v>
      </c>
      <c r="J14" s="473">
        <v>9</v>
      </c>
      <c r="K14" s="473">
        <v>8</v>
      </c>
      <c r="L14" s="432"/>
      <c r="M14" s="432">
        <f t="shared" si="1"/>
        <v>40.533801543233352</v>
      </c>
      <c r="N14" s="352">
        <f t="shared" si="2"/>
        <v>1</v>
      </c>
      <c r="O14" s="476" t="s">
        <v>284</v>
      </c>
    </row>
    <row r="15" spans="1:16" s="303" customFormat="1" ht="15.5" x14ac:dyDescent="0.35">
      <c r="A15" s="351">
        <v>19</v>
      </c>
      <c r="B15" s="351" t="s">
        <v>170</v>
      </c>
      <c r="C15" s="351"/>
      <c r="D15" s="472">
        <v>16792.099999999999</v>
      </c>
      <c r="E15" s="430"/>
      <c r="F15" s="431">
        <f t="shared" si="0"/>
        <v>5.5892043691541673</v>
      </c>
      <c r="G15" s="432"/>
      <c r="H15" s="351"/>
      <c r="I15" s="473">
        <v>10</v>
      </c>
      <c r="J15" s="473">
        <v>10</v>
      </c>
      <c r="K15" s="473">
        <v>10</v>
      </c>
      <c r="L15" s="432"/>
      <c r="M15" s="432">
        <f t="shared" si="1"/>
        <v>35.589204369154167</v>
      </c>
      <c r="N15" s="352">
        <f t="shared" si="2"/>
        <v>6</v>
      </c>
      <c r="O15" s="476" t="s">
        <v>285</v>
      </c>
    </row>
    <row r="16" spans="1:16" s="303" customFormat="1" ht="31" x14ac:dyDescent="0.35">
      <c r="A16" s="351">
        <v>20</v>
      </c>
      <c r="B16" s="351" t="s">
        <v>166</v>
      </c>
      <c r="C16" s="351"/>
      <c r="D16" s="472">
        <v>14948.690000000002</v>
      </c>
      <c r="E16" s="435"/>
      <c r="F16" s="431">
        <f t="shared" si="0"/>
        <v>10.040482408322973</v>
      </c>
      <c r="G16" s="432"/>
      <c r="H16" s="351"/>
      <c r="I16" s="473">
        <v>10</v>
      </c>
      <c r="J16" s="473">
        <v>7</v>
      </c>
      <c r="K16" s="473">
        <v>10</v>
      </c>
      <c r="L16" s="432"/>
      <c r="M16" s="432">
        <f t="shared" si="1"/>
        <v>37.040482408322973</v>
      </c>
      <c r="N16" s="352">
        <f t="shared" si="2"/>
        <v>2</v>
      </c>
      <c r="O16" s="476" t="s">
        <v>286</v>
      </c>
    </row>
    <row r="17" spans="1:15" s="303" customFormat="1" ht="31" x14ac:dyDescent="0.35">
      <c r="A17" s="351">
        <v>21</v>
      </c>
      <c r="B17" s="351" t="s">
        <v>165</v>
      </c>
      <c r="C17" s="351"/>
      <c r="D17" s="472">
        <v>10824.15</v>
      </c>
      <c r="E17" s="436"/>
      <c r="F17" s="431">
        <f t="shared" si="0"/>
        <v>19.999999999999996</v>
      </c>
      <c r="G17" s="432"/>
      <c r="H17" s="351"/>
      <c r="I17" s="473">
        <v>10</v>
      </c>
      <c r="J17" s="473">
        <v>4</v>
      </c>
      <c r="K17" s="473">
        <v>2</v>
      </c>
      <c r="L17" s="432"/>
      <c r="M17" s="432">
        <f>IF(SUM(F17:K17)&lt;2.5,2.5,SUM(F17:K17))</f>
        <v>36</v>
      </c>
      <c r="N17" s="352">
        <f t="shared" si="2"/>
        <v>5</v>
      </c>
      <c r="O17" s="476" t="s">
        <v>287</v>
      </c>
    </row>
    <row r="18" spans="1:15" s="336" customFormat="1" ht="31" x14ac:dyDescent="0.35">
      <c r="A18" s="351">
        <v>22</v>
      </c>
      <c r="B18" s="351" t="s">
        <v>172</v>
      </c>
      <c r="C18" s="351"/>
      <c r="D18" s="472">
        <v>15620.55</v>
      </c>
      <c r="E18" s="434"/>
      <c r="F18" s="431">
        <f t="shared" si="0"/>
        <v>8.4181435561978617</v>
      </c>
      <c r="G18" s="432"/>
      <c r="H18" s="351"/>
      <c r="I18" s="473">
        <v>8</v>
      </c>
      <c r="J18" s="473">
        <v>2</v>
      </c>
      <c r="K18" s="473">
        <v>2</v>
      </c>
      <c r="L18" s="432"/>
      <c r="M18" s="432">
        <f>IF(SUM(F18:K18)&lt;2.5,2.5,SUM(F18:K18))</f>
        <v>20.418143556197862</v>
      </c>
      <c r="N18" s="352">
        <f t="shared" si="2"/>
        <v>13</v>
      </c>
      <c r="O18" s="477" t="s">
        <v>288</v>
      </c>
    </row>
    <row r="19" spans="1:15" s="336" customFormat="1" ht="15.5" x14ac:dyDescent="0.35">
      <c r="A19" s="351">
        <v>23</v>
      </c>
      <c r="B19" s="351" t="s">
        <v>210</v>
      </c>
      <c r="C19" s="351"/>
      <c r="D19" s="472">
        <v>11955.99</v>
      </c>
      <c r="E19" s="434"/>
      <c r="F19" s="431">
        <f>-($C$25*D19)+$C$26</f>
        <v>17.266948461897876</v>
      </c>
      <c r="G19" s="432"/>
      <c r="H19" s="351"/>
      <c r="I19" s="473">
        <v>6</v>
      </c>
      <c r="J19" s="473">
        <v>6</v>
      </c>
      <c r="K19" s="473">
        <v>6</v>
      </c>
      <c r="L19" s="432"/>
      <c r="M19" s="432">
        <f>IF(SUM(F19:K19)&lt;2.5,2.5,SUM(F19:K19))</f>
        <v>35.266948461897876</v>
      </c>
      <c r="N19" s="352">
        <f t="shared" si="2"/>
        <v>7</v>
      </c>
      <c r="O19" s="476" t="s">
        <v>289</v>
      </c>
    </row>
    <row r="20" spans="1:15" s="336" customFormat="1" ht="31" x14ac:dyDescent="0.35">
      <c r="A20" s="351">
        <v>26</v>
      </c>
      <c r="B20" s="351" t="s">
        <v>169</v>
      </c>
      <c r="C20" s="351"/>
      <c r="D20" s="472">
        <v>12476.49</v>
      </c>
      <c r="E20" s="434"/>
      <c r="F20" s="431">
        <f>-($C$25*D20)+$C$26</f>
        <v>16.010098266126253</v>
      </c>
      <c r="G20" s="432"/>
      <c r="H20" s="351"/>
      <c r="I20" s="473">
        <v>9</v>
      </c>
      <c r="J20" s="473">
        <v>5</v>
      </c>
      <c r="K20" s="473">
        <v>5</v>
      </c>
      <c r="L20" s="432"/>
      <c r="M20" s="432">
        <f>IF(SUM(F20:K20)&lt;2.5,2.5,SUM(F20:K20))</f>
        <v>35.010098266126249</v>
      </c>
      <c r="N20" s="352">
        <f t="shared" si="2"/>
        <v>8</v>
      </c>
      <c r="O20" s="476" t="s">
        <v>290</v>
      </c>
    </row>
    <row r="21" spans="1:15" ht="14.5" x14ac:dyDescent="0.35">
      <c r="B21" s="154"/>
      <c r="C21" s="44"/>
      <c r="D21" s="160"/>
      <c r="E21" s="6"/>
      <c r="N21" s="162"/>
    </row>
    <row r="22" spans="1:15" ht="14.5" x14ac:dyDescent="0.35">
      <c r="B22" s="165" t="s">
        <v>102</v>
      </c>
      <c r="C22" s="44"/>
      <c r="D22" s="112"/>
      <c r="E22" s="6"/>
      <c r="M22" s="159" t="s">
        <v>122</v>
      </c>
    </row>
    <row r="23" spans="1:15" ht="13" x14ac:dyDescent="0.3">
      <c r="B23" s="89" t="s">
        <v>103</v>
      </c>
      <c r="C23" s="32"/>
      <c r="D23" s="40"/>
      <c r="E23" s="6"/>
    </row>
    <row r="24" spans="1:15" ht="13" x14ac:dyDescent="0.3">
      <c r="B24" s="89" t="s">
        <v>104</v>
      </c>
      <c r="C24" s="32"/>
      <c r="D24" s="40"/>
      <c r="E24" s="6"/>
    </row>
    <row r="25" spans="1:15" ht="13" x14ac:dyDescent="0.3">
      <c r="B25" s="89" t="s">
        <v>105</v>
      </c>
      <c r="C25" s="158">
        <f>20/(C28-C27)</f>
        <v>2.4146977824622919E-3</v>
      </c>
      <c r="D25" s="40"/>
      <c r="E25" s="6"/>
    </row>
    <row r="26" spans="1:15" ht="13" x14ac:dyDescent="0.3">
      <c r="B26" s="89" t="s">
        <v>106</v>
      </c>
      <c r="C26" s="32">
        <f>20+(C25*C27)</f>
        <v>46.137051002039215</v>
      </c>
      <c r="D26" s="40"/>
      <c r="E26" s="6"/>
    </row>
    <row r="27" spans="1:15" ht="13" x14ac:dyDescent="0.3">
      <c r="B27" s="89" t="s">
        <v>68</v>
      </c>
      <c r="C27" s="156">
        <f>MIN(D7:D20)</f>
        <v>10824.15</v>
      </c>
      <c r="D27" s="40"/>
      <c r="E27" s="6"/>
    </row>
    <row r="28" spans="1:15" x14ac:dyDescent="0.25">
      <c r="B28" s="37" t="s">
        <v>107</v>
      </c>
      <c r="C28" s="157">
        <f>MAX(D7:D20)</f>
        <v>19106.759999999998</v>
      </c>
      <c r="D28" s="40"/>
      <c r="E28" s="6"/>
    </row>
    <row r="29" spans="1:15" x14ac:dyDescent="0.25">
      <c r="B29" s="37" t="s">
        <v>108</v>
      </c>
      <c r="C29" s="155">
        <v>20</v>
      </c>
      <c r="D29" s="40"/>
      <c r="E29" s="6"/>
    </row>
    <row r="30" spans="1:15" x14ac:dyDescent="0.25">
      <c r="B30" s="37"/>
      <c r="C30" s="32"/>
      <c r="D30" s="40"/>
      <c r="E30" s="6"/>
    </row>
    <row r="31" spans="1:15" x14ac:dyDescent="0.25">
      <c r="B31" s="163" t="s">
        <v>119</v>
      </c>
      <c r="C31" s="32"/>
      <c r="D31" s="40"/>
      <c r="E31" s="6"/>
      <c r="I31" s="159" t="s">
        <v>118</v>
      </c>
    </row>
    <row r="32" spans="1:15" x14ac:dyDescent="0.25">
      <c r="B32" s="38"/>
      <c r="C32" s="32"/>
      <c r="D32" s="40"/>
    </row>
    <row r="33" spans="2:4" x14ac:dyDescent="0.25">
      <c r="B33" s="1"/>
      <c r="C33" s="21"/>
      <c r="D33" s="1"/>
    </row>
    <row r="34" spans="2:4" x14ac:dyDescent="0.25">
      <c r="B34" s="1"/>
      <c r="C34" s="1"/>
      <c r="D34" s="1"/>
    </row>
    <row r="35" spans="2:4" x14ac:dyDescent="0.25">
      <c r="B35" s="1"/>
      <c r="C35" s="1"/>
      <c r="D35" s="1"/>
    </row>
  </sheetData>
  <phoneticPr fontId="31" type="noConversion"/>
  <printOptions gridLines="1"/>
  <pageMargins left="0.75" right="0.75" top="1" bottom="1" header="0.5" footer="0.5"/>
  <pageSetup scale="60" orientation="landscape" horizontalDpi="4294967294" verticalDpi="20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1"/>
  <sheetViews>
    <sheetView zoomScale="50" zoomScaleNormal="50" workbookViewId="0">
      <selection activeCell="S13" sqref="S13"/>
    </sheetView>
  </sheetViews>
  <sheetFormatPr defaultColWidth="8.81640625" defaultRowHeight="12.5" x14ac:dyDescent="0.25"/>
  <cols>
    <col min="2" max="2" width="76.1796875" customWidth="1"/>
    <col min="3" max="6" width="9" style="182" bestFit="1" customWidth="1"/>
    <col min="7" max="7" width="9" style="182" customWidth="1"/>
    <col min="8" max="13" width="9" style="182" bestFit="1" customWidth="1"/>
    <col min="14" max="17" width="7.81640625" style="182" customWidth="1"/>
    <col min="18" max="18" width="19" style="3" bestFit="1" customWidth="1"/>
    <col min="19" max="19" width="27.81640625" style="3" customWidth="1"/>
    <col min="20" max="20" width="21.54296875" style="3" customWidth="1"/>
  </cols>
  <sheetData>
    <row r="1" spans="1:23" ht="25" x14ac:dyDescent="0.5">
      <c r="B1" s="448" t="s">
        <v>222</v>
      </c>
      <c r="C1" s="178"/>
      <c r="D1" s="178"/>
      <c r="E1" s="178"/>
      <c r="F1" s="178"/>
      <c r="G1" s="178"/>
      <c r="H1" s="178"/>
      <c r="I1" s="178"/>
      <c r="J1" s="178"/>
      <c r="K1" s="178"/>
      <c r="L1" s="178"/>
      <c r="M1" s="178"/>
      <c r="N1" s="178"/>
      <c r="O1" s="178"/>
      <c r="P1" s="178"/>
      <c r="Q1" s="178"/>
      <c r="R1" s="25"/>
      <c r="S1" s="26"/>
      <c r="T1" s="25"/>
    </row>
    <row r="2" spans="1:23" ht="20" x14ac:dyDescent="0.4">
      <c r="B2" s="131" t="s">
        <v>41</v>
      </c>
      <c r="C2" s="179"/>
      <c r="D2" s="179"/>
      <c r="E2" s="179"/>
      <c r="F2" s="179"/>
      <c r="G2" s="179"/>
      <c r="H2" s="179"/>
      <c r="I2" s="179"/>
      <c r="J2" s="179"/>
      <c r="K2" s="179"/>
      <c r="L2" s="179"/>
      <c r="M2" s="180"/>
      <c r="N2" s="179"/>
      <c r="O2" s="181"/>
      <c r="P2" s="179"/>
      <c r="Q2" s="179"/>
      <c r="R2" s="35"/>
      <c r="S2" s="106"/>
      <c r="T2" s="35"/>
      <c r="U2" s="159"/>
    </row>
    <row r="3" spans="1:23" s="306" customFormat="1" ht="28" x14ac:dyDescent="0.6">
      <c r="B3" s="307"/>
      <c r="C3" s="308"/>
      <c r="D3" s="308"/>
      <c r="E3" s="308"/>
      <c r="F3" s="308"/>
      <c r="G3" s="308"/>
      <c r="H3" s="308"/>
      <c r="I3" s="308"/>
      <c r="J3" s="308"/>
      <c r="K3" s="308"/>
      <c r="L3" s="308"/>
      <c r="M3" s="308"/>
      <c r="N3" s="308"/>
      <c r="O3" s="308"/>
      <c r="P3" s="308"/>
      <c r="Q3" s="308"/>
      <c r="R3" s="309" t="s">
        <v>65</v>
      </c>
      <c r="S3" s="309" t="s">
        <v>47</v>
      </c>
      <c r="T3" s="310" t="s">
        <v>26</v>
      </c>
      <c r="U3" s="311"/>
      <c r="V3" s="311"/>
      <c r="W3" s="312"/>
    </row>
    <row r="4" spans="1:23" s="313" customFormat="1" ht="28.5" x14ac:dyDescent="0.65">
      <c r="A4" s="349">
        <v>11</v>
      </c>
      <c r="B4" s="349" t="s">
        <v>168</v>
      </c>
      <c r="C4" s="314"/>
      <c r="D4" s="315"/>
      <c r="E4" s="315"/>
      <c r="F4" s="315"/>
      <c r="G4" s="315"/>
      <c r="H4" s="315"/>
      <c r="I4" s="315"/>
      <c r="J4" s="315"/>
      <c r="K4" s="315"/>
      <c r="L4" s="315"/>
      <c r="M4" s="315"/>
      <c r="N4" s="315"/>
      <c r="O4" s="315"/>
      <c r="P4" s="315"/>
      <c r="Q4" s="316"/>
      <c r="R4" s="317"/>
      <c r="S4" s="318"/>
      <c r="T4" s="319"/>
      <c r="U4" s="320"/>
      <c r="V4" s="320"/>
      <c r="W4" s="321"/>
    </row>
    <row r="5" spans="1:23" s="313" customFormat="1" ht="28.5" x14ac:dyDescent="0.65">
      <c r="A5" s="349">
        <v>12</v>
      </c>
      <c r="B5" s="349" t="s">
        <v>171</v>
      </c>
      <c r="C5" s="322"/>
      <c r="D5" s="323"/>
      <c r="E5" s="323"/>
      <c r="F5" s="323"/>
      <c r="G5" s="323"/>
      <c r="H5" s="323"/>
      <c r="I5" s="323"/>
      <c r="J5" s="323"/>
      <c r="K5" s="323"/>
      <c r="L5" s="323"/>
      <c r="M5" s="323"/>
      <c r="N5" s="323"/>
      <c r="O5" s="323"/>
      <c r="P5" s="323"/>
      <c r="Q5" s="316"/>
      <c r="R5" s="317"/>
      <c r="S5" s="318"/>
      <c r="T5" s="319"/>
      <c r="U5" s="320"/>
      <c r="V5" s="320"/>
      <c r="W5" s="321"/>
    </row>
    <row r="6" spans="1:23" s="313" customFormat="1" ht="28.5" x14ac:dyDescent="0.65">
      <c r="A6" s="349">
        <v>13</v>
      </c>
      <c r="B6" s="349" t="s">
        <v>173</v>
      </c>
      <c r="C6" s="314">
        <v>33.5</v>
      </c>
      <c r="D6" s="323">
        <v>27.5</v>
      </c>
      <c r="E6" s="323">
        <v>36</v>
      </c>
      <c r="F6" s="323">
        <v>0</v>
      </c>
      <c r="G6" s="323">
        <v>0</v>
      </c>
      <c r="H6" s="323">
        <v>0</v>
      </c>
      <c r="I6" s="323">
        <v>0</v>
      </c>
      <c r="J6" s="323">
        <v>0</v>
      </c>
      <c r="K6" s="323"/>
      <c r="L6" s="323"/>
      <c r="M6" s="323"/>
      <c r="N6" s="323"/>
      <c r="O6" s="323"/>
      <c r="P6" s="323"/>
      <c r="Q6" s="316"/>
      <c r="R6" s="317">
        <f t="shared" ref="R6:R16" si="0">AVERAGE(C6:Q6)</f>
        <v>12.125</v>
      </c>
      <c r="S6" s="318">
        <f t="shared" ref="S6:S16" si="1">IF(R6&lt;2.5,2.5,R6)</f>
        <v>12.125</v>
      </c>
      <c r="T6" s="319">
        <f t="shared" ref="T6:T16" si="2">RANK(S6,$S$4:$S$17)</f>
        <v>6</v>
      </c>
      <c r="U6" s="320"/>
      <c r="V6" s="320"/>
      <c r="W6" s="321"/>
    </row>
    <row r="7" spans="1:23" s="324" customFormat="1" ht="28.5" x14ac:dyDescent="0.65">
      <c r="A7" s="349">
        <v>14</v>
      </c>
      <c r="B7" s="349" t="s">
        <v>198</v>
      </c>
      <c r="C7" s="314">
        <v>36.5</v>
      </c>
      <c r="D7" s="323">
        <v>29.5</v>
      </c>
      <c r="E7" s="323">
        <v>28</v>
      </c>
      <c r="F7" s="323">
        <v>34</v>
      </c>
      <c r="G7" s="323">
        <v>34</v>
      </c>
      <c r="H7" s="323">
        <v>36</v>
      </c>
      <c r="I7" s="323">
        <v>29</v>
      </c>
      <c r="J7" s="323">
        <v>28</v>
      </c>
      <c r="K7" s="323">
        <v>40</v>
      </c>
      <c r="L7" s="323"/>
      <c r="M7" s="323"/>
      <c r="N7" s="323"/>
      <c r="O7" s="323"/>
      <c r="P7" s="323"/>
      <c r="Q7" s="316"/>
      <c r="R7" s="317">
        <f t="shared" si="0"/>
        <v>32.777777777777779</v>
      </c>
      <c r="S7" s="318">
        <f t="shared" si="1"/>
        <v>32.777777777777779</v>
      </c>
      <c r="T7" s="319">
        <f t="shared" si="2"/>
        <v>4</v>
      </c>
      <c r="U7" s="320"/>
      <c r="V7" s="320"/>
      <c r="W7" s="321"/>
    </row>
    <row r="8" spans="1:23" s="313" customFormat="1" ht="28.5" x14ac:dyDescent="0.65">
      <c r="A8" s="349">
        <v>15</v>
      </c>
      <c r="B8" s="349" t="s">
        <v>164</v>
      </c>
      <c r="C8" s="314">
        <v>33.5</v>
      </c>
      <c r="D8" s="323">
        <v>38</v>
      </c>
      <c r="E8" s="323">
        <v>35.5</v>
      </c>
      <c r="F8" s="323">
        <v>33</v>
      </c>
      <c r="G8" s="323">
        <v>32.5</v>
      </c>
      <c r="H8" s="323">
        <v>17</v>
      </c>
      <c r="I8" s="323">
        <v>28.5</v>
      </c>
      <c r="J8" s="323">
        <v>34</v>
      </c>
      <c r="K8" s="323">
        <v>37.5</v>
      </c>
      <c r="L8" s="323">
        <v>39.5</v>
      </c>
      <c r="M8" s="323">
        <v>29</v>
      </c>
      <c r="N8" s="323"/>
      <c r="O8" s="323"/>
      <c r="P8" s="323"/>
      <c r="Q8" s="316"/>
      <c r="R8" s="317">
        <f t="shared" si="0"/>
        <v>32.545454545454547</v>
      </c>
      <c r="S8" s="318">
        <f t="shared" si="1"/>
        <v>32.545454545454547</v>
      </c>
      <c r="T8" s="319">
        <f t="shared" si="2"/>
        <v>5</v>
      </c>
      <c r="U8" s="320"/>
      <c r="V8" s="320"/>
      <c r="W8" s="321"/>
    </row>
    <row r="9" spans="1:23" s="313" customFormat="1" ht="28.5" x14ac:dyDescent="0.65">
      <c r="A9" s="349">
        <v>16</v>
      </c>
      <c r="B9" s="349" t="s">
        <v>208</v>
      </c>
      <c r="C9" s="314"/>
      <c r="D9" s="323"/>
      <c r="E9" s="323"/>
      <c r="F9" s="323"/>
      <c r="G9" s="323"/>
      <c r="H9" s="323"/>
      <c r="I9" s="323"/>
      <c r="J9" s="323"/>
      <c r="K9" s="323"/>
      <c r="L9" s="323"/>
      <c r="M9" s="323"/>
      <c r="N9" s="323"/>
      <c r="O9" s="323"/>
      <c r="P9" s="323"/>
      <c r="Q9" s="316"/>
      <c r="R9" s="317"/>
      <c r="S9" s="318"/>
      <c r="T9" s="319"/>
      <c r="U9" s="320"/>
      <c r="V9" s="320"/>
      <c r="W9" s="321"/>
    </row>
    <row r="10" spans="1:23" s="313" customFormat="1" ht="28.5" x14ac:dyDescent="0.65">
      <c r="A10" s="349">
        <v>17</v>
      </c>
      <c r="B10" s="349" t="s">
        <v>167</v>
      </c>
      <c r="C10" s="314">
        <v>40</v>
      </c>
      <c r="D10" s="323">
        <v>47.5</v>
      </c>
      <c r="E10" s="323">
        <v>40</v>
      </c>
      <c r="F10" s="323">
        <v>49.5</v>
      </c>
      <c r="G10" s="323">
        <v>46</v>
      </c>
      <c r="H10" s="323">
        <v>42.5</v>
      </c>
      <c r="I10" s="322">
        <v>50</v>
      </c>
      <c r="J10" s="323"/>
      <c r="K10" s="323"/>
      <c r="L10" s="323"/>
      <c r="M10" s="323"/>
      <c r="N10" s="323"/>
      <c r="O10" s="323"/>
      <c r="P10" s="323"/>
      <c r="Q10" s="316"/>
      <c r="R10" s="317">
        <f t="shared" si="0"/>
        <v>45.071428571428569</v>
      </c>
      <c r="S10" s="318">
        <f t="shared" si="1"/>
        <v>45.071428571428569</v>
      </c>
      <c r="T10" s="319">
        <f t="shared" si="2"/>
        <v>1</v>
      </c>
      <c r="U10" s="320"/>
      <c r="V10" s="320"/>
      <c r="W10" s="321"/>
    </row>
    <row r="11" spans="1:23" s="313" customFormat="1" ht="28.5" x14ac:dyDescent="0.65">
      <c r="A11" s="349">
        <v>18</v>
      </c>
      <c r="B11" s="349" t="s">
        <v>209</v>
      </c>
      <c r="C11" s="314"/>
      <c r="D11" s="323"/>
      <c r="E11" s="323"/>
      <c r="F11" s="323"/>
      <c r="G11" s="323"/>
      <c r="H11" s="323"/>
      <c r="I11" s="323"/>
      <c r="J11" s="323"/>
      <c r="K11" s="323"/>
      <c r="L11" s="323"/>
      <c r="M11" s="323"/>
      <c r="N11" s="323"/>
      <c r="O11" s="323"/>
      <c r="P11" s="323"/>
      <c r="Q11" s="316"/>
      <c r="R11" s="317"/>
      <c r="S11" s="318"/>
      <c r="T11" s="319"/>
      <c r="U11" s="320"/>
      <c r="V11" s="320"/>
      <c r="W11" s="321"/>
    </row>
    <row r="12" spans="1:23" s="313" customFormat="1" ht="28.5" x14ac:dyDescent="0.65">
      <c r="A12" s="349">
        <v>19</v>
      </c>
      <c r="B12" s="349" t="s">
        <v>170</v>
      </c>
      <c r="C12" s="314">
        <v>35.5</v>
      </c>
      <c r="D12" s="323">
        <v>35.5</v>
      </c>
      <c r="E12" s="323">
        <v>20</v>
      </c>
      <c r="F12" s="323">
        <v>34.5</v>
      </c>
      <c r="G12" s="323">
        <v>29.5</v>
      </c>
      <c r="H12" s="323">
        <v>36</v>
      </c>
      <c r="I12" s="323">
        <v>39.5</v>
      </c>
      <c r="J12" s="323">
        <v>45</v>
      </c>
      <c r="K12" s="323">
        <v>30</v>
      </c>
      <c r="L12" s="323">
        <v>40.5</v>
      </c>
      <c r="M12" s="323">
        <v>29.5</v>
      </c>
      <c r="N12" s="323"/>
      <c r="O12" s="323"/>
      <c r="P12" s="323"/>
      <c r="Q12" s="316"/>
      <c r="R12" s="317">
        <f t="shared" si="0"/>
        <v>34.136363636363633</v>
      </c>
      <c r="S12" s="318">
        <f t="shared" si="1"/>
        <v>34.136363636363633</v>
      </c>
      <c r="T12" s="319">
        <f t="shared" si="2"/>
        <v>3</v>
      </c>
      <c r="U12" s="320"/>
      <c r="V12" s="320"/>
      <c r="W12" s="321"/>
    </row>
    <row r="13" spans="1:23" s="313" customFormat="1" ht="28.5" x14ac:dyDescent="0.65">
      <c r="A13" s="349">
        <v>20</v>
      </c>
      <c r="B13" s="349" t="s">
        <v>166</v>
      </c>
      <c r="C13" s="314"/>
      <c r="D13" s="323"/>
      <c r="E13" s="323"/>
      <c r="F13" s="323"/>
      <c r="G13" s="323"/>
      <c r="H13" s="323"/>
      <c r="I13" s="323"/>
      <c r="J13" s="323"/>
      <c r="K13" s="323"/>
      <c r="L13" s="323"/>
      <c r="M13" s="323"/>
      <c r="N13" s="323"/>
      <c r="O13" s="323"/>
      <c r="P13" s="323"/>
      <c r="Q13" s="316"/>
      <c r="R13" s="317"/>
      <c r="S13" s="318"/>
      <c r="T13" s="319"/>
      <c r="U13" s="320"/>
      <c r="V13" s="320"/>
      <c r="W13" s="321"/>
    </row>
    <row r="14" spans="1:23" s="313" customFormat="1" ht="28.5" x14ac:dyDescent="0.65">
      <c r="A14" s="349">
        <v>21</v>
      </c>
      <c r="B14" s="349" t="s">
        <v>165</v>
      </c>
      <c r="C14" s="314"/>
      <c r="D14" s="323"/>
      <c r="E14" s="323"/>
      <c r="F14" s="323"/>
      <c r="G14" s="323"/>
      <c r="H14" s="323"/>
      <c r="I14" s="323"/>
      <c r="J14" s="323"/>
      <c r="K14" s="323"/>
      <c r="L14" s="323"/>
      <c r="M14" s="323"/>
      <c r="N14" s="323"/>
      <c r="O14" s="323"/>
      <c r="P14" s="323"/>
      <c r="Q14" s="316"/>
      <c r="R14" s="317"/>
      <c r="S14" s="318"/>
      <c r="T14" s="319"/>
      <c r="U14" s="320"/>
      <c r="V14" s="320"/>
      <c r="W14" s="321"/>
    </row>
    <row r="15" spans="1:23" s="313" customFormat="1" ht="28.5" x14ac:dyDescent="0.65">
      <c r="A15" s="349">
        <v>22</v>
      </c>
      <c r="B15" s="349" t="s">
        <v>172</v>
      </c>
      <c r="C15" s="314"/>
      <c r="D15" s="323"/>
      <c r="E15" s="323"/>
      <c r="F15" s="323"/>
      <c r="G15" s="323"/>
      <c r="H15" s="323"/>
      <c r="I15" s="323"/>
      <c r="J15" s="323"/>
      <c r="K15" s="323"/>
      <c r="L15" s="323"/>
      <c r="M15" s="323"/>
      <c r="N15" s="323"/>
      <c r="O15" s="323"/>
      <c r="P15" s="323"/>
      <c r="Q15" s="316"/>
      <c r="R15" s="317"/>
      <c r="S15" s="318"/>
      <c r="T15" s="319"/>
      <c r="U15" s="320"/>
      <c r="V15" s="320"/>
      <c r="W15" s="321"/>
    </row>
    <row r="16" spans="1:23" s="313" customFormat="1" ht="28.5" x14ac:dyDescent="0.65">
      <c r="A16" s="349">
        <v>23</v>
      </c>
      <c r="B16" s="349" t="s">
        <v>210</v>
      </c>
      <c r="C16" s="314">
        <v>37</v>
      </c>
      <c r="D16" s="323">
        <v>39.5</v>
      </c>
      <c r="E16" s="323">
        <v>44</v>
      </c>
      <c r="F16" s="323">
        <v>42.5</v>
      </c>
      <c r="G16" s="323">
        <v>42.5</v>
      </c>
      <c r="H16" s="323">
        <v>39</v>
      </c>
      <c r="I16" s="323">
        <v>36</v>
      </c>
      <c r="J16" s="323">
        <v>37</v>
      </c>
      <c r="K16" s="323">
        <v>39.5</v>
      </c>
      <c r="L16" s="323"/>
      <c r="M16" s="323"/>
      <c r="N16" s="323"/>
      <c r="O16" s="323"/>
      <c r="P16" s="323"/>
      <c r="Q16" s="316"/>
      <c r="R16" s="317">
        <f t="shared" si="0"/>
        <v>39.666666666666664</v>
      </c>
      <c r="S16" s="318">
        <f t="shared" si="1"/>
        <v>39.666666666666664</v>
      </c>
      <c r="T16" s="319">
        <f t="shared" si="2"/>
        <v>2</v>
      </c>
    </row>
    <row r="17" spans="1:20" s="313" customFormat="1" ht="28.5" x14ac:dyDescent="0.65">
      <c r="A17" s="349">
        <v>26</v>
      </c>
      <c r="B17" s="349" t="s">
        <v>169</v>
      </c>
      <c r="C17" s="314"/>
      <c r="D17" s="323"/>
      <c r="E17" s="323"/>
      <c r="F17" s="323"/>
      <c r="G17" s="323"/>
      <c r="H17" s="323"/>
      <c r="I17" s="323"/>
      <c r="J17" s="323"/>
      <c r="K17" s="323"/>
      <c r="L17" s="323"/>
      <c r="M17" s="323"/>
      <c r="N17" s="323"/>
      <c r="O17" s="323"/>
      <c r="P17" s="323"/>
      <c r="Q17" s="316"/>
      <c r="R17" s="317"/>
      <c r="S17" s="318"/>
      <c r="T17" s="319"/>
    </row>
    <row r="19" spans="1:20" ht="27.5" x14ac:dyDescent="0.55000000000000004">
      <c r="Q19" s="313" t="s">
        <v>121</v>
      </c>
    </row>
    <row r="23" spans="1:20" x14ac:dyDescent="0.25">
      <c r="C23" s="183"/>
      <c r="D23" s="183"/>
      <c r="E23" s="183"/>
      <c r="F23" s="183"/>
      <c r="G23" s="183"/>
      <c r="H23" s="183"/>
      <c r="I23" s="183"/>
      <c r="J23" s="183"/>
      <c r="K23" s="183"/>
      <c r="L23" s="183"/>
    </row>
    <row r="31" spans="1:20" x14ac:dyDescent="0.25">
      <c r="C31" s="183"/>
      <c r="D31" s="183"/>
      <c r="E31" s="183"/>
      <c r="F31" s="183"/>
      <c r="G31" s="183"/>
      <c r="H31" s="183"/>
      <c r="I31" s="183"/>
      <c r="J31" s="183"/>
      <c r="K31" s="183"/>
      <c r="L31" s="183"/>
    </row>
  </sheetData>
  <phoneticPr fontId="31" type="noConversion"/>
  <printOptions gridLines="1"/>
  <pageMargins left="0.75" right="0.75" top="1" bottom="1" header="0.5" footer="0.5"/>
  <pageSetup scale="55"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4"/>
  <sheetViews>
    <sheetView zoomScaleNormal="100" workbookViewId="0">
      <selection activeCell="D28" sqref="D28"/>
    </sheetView>
  </sheetViews>
  <sheetFormatPr defaultColWidth="8.81640625" defaultRowHeight="11.5" x14ac:dyDescent="0.25"/>
  <cols>
    <col min="1" max="1" width="8.81640625" style="494"/>
    <col min="2" max="2" width="59.81640625" style="494" customWidth="1"/>
    <col min="3" max="3" width="15.1796875" style="494" customWidth="1"/>
    <col min="4" max="4" width="13.81640625" style="587" bestFit="1" customWidth="1"/>
    <col min="5" max="5" width="10.1796875" style="494" customWidth="1"/>
    <col min="6" max="6" width="12.453125" style="494" customWidth="1"/>
    <col min="7" max="7" width="17" style="494" customWidth="1"/>
    <col min="8" max="8" width="10.81640625" style="589" customWidth="1"/>
    <col min="9" max="9" width="58.08984375" style="499" bestFit="1" customWidth="1"/>
    <col min="10" max="10" width="41.81640625" style="494" customWidth="1"/>
    <col min="11" max="16384" width="8.81640625" style="494"/>
  </cols>
  <sheetData>
    <row r="1" spans="1:13" x14ac:dyDescent="0.25">
      <c r="B1" s="519" t="s">
        <v>223</v>
      </c>
      <c r="F1" s="588"/>
      <c r="G1" s="588"/>
    </row>
    <row r="2" spans="1:13" ht="12" x14ac:dyDescent="0.3">
      <c r="B2" s="590"/>
      <c r="C2" s="590"/>
      <c r="D2" s="520"/>
      <c r="E2" s="521" t="s">
        <v>0</v>
      </c>
      <c r="F2" s="591">
        <f>MAX(E10:E23)</f>
        <v>17.868336279665733</v>
      </c>
      <c r="G2" s="521" t="s">
        <v>11</v>
      </c>
      <c r="H2" s="184" t="s">
        <v>176</v>
      </c>
      <c r="J2" s="48"/>
    </row>
    <row r="3" spans="1:13" ht="12" x14ac:dyDescent="0.3">
      <c r="B3" s="521"/>
      <c r="C3" s="521"/>
      <c r="D3" s="592"/>
      <c r="E3" s="521" t="s">
        <v>1</v>
      </c>
      <c r="F3" s="591">
        <f>MIN(E10:E23)</f>
        <v>10.872428346440678</v>
      </c>
      <c r="G3" s="521" t="s">
        <v>11</v>
      </c>
      <c r="H3" s="184" t="s">
        <v>177</v>
      </c>
      <c r="J3" s="48"/>
    </row>
    <row r="4" spans="1:13" ht="12" x14ac:dyDescent="0.3">
      <c r="B4" s="519"/>
      <c r="C4" s="519"/>
      <c r="D4" s="593"/>
      <c r="E4" s="521" t="s">
        <v>13</v>
      </c>
      <c r="F4" s="594">
        <v>100.1</v>
      </c>
      <c r="G4" s="521" t="s">
        <v>12</v>
      </c>
      <c r="H4" s="184" t="s">
        <v>27</v>
      </c>
      <c r="J4" s="48"/>
    </row>
    <row r="5" spans="1:13" ht="12" x14ac:dyDescent="0.3">
      <c r="B5" s="519"/>
      <c r="C5" s="519"/>
      <c r="D5" s="593"/>
      <c r="E5" s="521" t="s">
        <v>109</v>
      </c>
      <c r="F5" s="594"/>
      <c r="G5" s="521"/>
      <c r="H5" s="184"/>
      <c r="J5" s="48"/>
    </row>
    <row r="6" spans="1:13" ht="12" x14ac:dyDescent="0.3">
      <c r="B6" s="519"/>
      <c r="C6" s="519"/>
      <c r="D6" s="593"/>
      <c r="E6" s="521" t="s">
        <v>110</v>
      </c>
      <c r="F6" s="594">
        <f>100/(F2-F3)</f>
        <v>14.294070327180654</v>
      </c>
      <c r="G6" s="521"/>
      <c r="H6" s="184"/>
      <c r="J6" s="48"/>
    </row>
    <row r="7" spans="1:13" ht="12" x14ac:dyDescent="0.3">
      <c r="B7" s="519"/>
      <c r="C7" s="519"/>
      <c r="D7" s="593"/>
      <c r="E7" s="521" t="s">
        <v>111</v>
      </c>
      <c r="F7" s="594">
        <f>-(F6*F3)</f>
        <v>-155.41125541125552</v>
      </c>
      <c r="G7" s="521"/>
      <c r="H7" s="184"/>
      <c r="J7" s="48"/>
    </row>
    <row r="8" spans="1:13" ht="3" customHeight="1" x14ac:dyDescent="0.25">
      <c r="B8" s="532"/>
      <c r="C8" s="532"/>
      <c r="D8" s="594"/>
      <c r="E8" s="532"/>
      <c r="F8" s="521"/>
      <c r="G8" s="521"/>
      <c r="I8" s="545"/>
      <c r="J8" s="595"/>
      <c r="K8" s="595"/>
    </row>
    <row r="9" spans="1:13" ht="54" customHeight="1" x14ac:dyDescent="0.25">
      <c r="B9" s="596"/>
      <c r="C9" s="597" t="s">
        <v>313</v>
      </c>
      <c r="D9" s="598" t="s">
        <v>46</v>
      </c>
      <c r="E9" s="599" t="s">
        <v>10</v>
      </c>
      <c r="F9" s="600" t="s">
        <v>114</v>
      </c>
      <c r="G9" s="600" t="s">
        <v>26</v>
      </c>
      <c r="H9" s="99" t="s">
        <v>61</v>
      </c>
      <c r="I9" s="531" t="s">
        <v>124</v>
      </c>
      <c r="J9" s="599"/>
      <c r="K9" s="600"/>
      <c r="M9" s="601" t="s">
        <v>41</v>
      </c>
    </row>
    <row r="10" spans="1:13" x14ac:dyDescent="0.25">
      <c r="A10" s="506">
        <v>11</v>
      </c>
      <c r="B10" s="506" t="s">
        <v>168</v>
      </c>
      <c r="C10" s="586" t="s">
        <v>149</v>
      </c>
      <c r="D10" s="602"/>
      <c r="E10" s="603"/>
      <c r="F10" s="576"/>
      <c r="G10" s="604"/>
      <c r="H10" s="509"/>
      <c r="I10" s="605"/>
      <c r="J10" s="606"/>
      <c r="K10" s="521"/>
      <c r="M10" s="587" t="s">
        <v>41</v>
      </c>
    </row>
    <row r="11" spans="1:13" x14ac:dyDescent="0.25">
      <c r="A11" s="506">
        <v>12</v>
      </c>
      <c r="B11" s="506" t="s">
        <v>171</v>
      </c>
      <c r="C11" s="586" t="s">
        <v>149</v>
      </c>
      <c r="D11" s="607"/>
      <c r="E11" s="603"/>
      <c r="F11" s="576">
        <v>5</v>
      </c>
      <c r="G11" s="604">
        <f t="shared" ref="G11:G22" si="0">RANK(F11,$F$10:$F$23)</f>
        <v>7</v>
      </c>
      <c r="H11" s="509">
        <v>4</v>
      </c>
      <c r="I11" s="608" t="s">
        <v>240</v>
      </c>
      <c r="J11" s="609"/>
      <c r="K11" s="521"/>
      <c r="M11" s="587"/>
    </row>
    <row r="12" spans="1:13" x14ac:dyDescent="0.25">
      <c r="A12" s="506">
        <v>13</v>
      </c>
      <c r="B12" s="506" t="s">
        <v>173</v>
      </c>
      <c r="C12" s="586" t="s">
        <v>149</v>
      </c>
      <c r="D12" s="607"/>
      <c r="E12" s="603"/>
      <c r="F12" s="576"/>
      <c r="G12" s="604"/>
      <c r="H12" s="509"/>
      <c r="I12" s="539"/>
      <c r="J12" s="609"/>
      <c r="K12" s="521"/>
      <c r="M12" s="587"/>
    </row>
    <row r="13" spans="1:13" s="500" customFormat="1" x14ac:dyDescent="0.25">
      <c r="A13" s="506">
        <v>14</v>
      </c>
      <c r="B13" s="506" t="s">
        <v>198</v>
      </c>
      <c r="C13" s="586" t="s">
        <v>149</v>
      </c>
      <c r="D13" s="607">
        <v>6.1326483409610155</v>
      </c>
      <c r="E13" s="603">
        <f t="shared" ref="E13:E22" si="1">$F$4/D13</f>
        <v>16.322475125699746</v>
      </c>
      <c r="F13" s="576">
        <f t="shared" ref="F13:F22" si="2">100+($F$6*E13)+$F$7</f>
        <v>177.90335194915355</v>
      </c>
      <c r="G13" s="604">
        <f t="shared" si="0"/>
        <v>2</v>
      </c>
      <c r="H13" s="509">
        <f>+F4</f>
        <v>100.1</v>
      </c>
      <c r="I13" s="605"/>
      <c r="J13" s="609"/>
      <c r="K13" s="610"/>
      <c r="M13" s="611"/>
    </row>
    <row r="14" spans="1:13" s="500" customFormat="1" x14ac:dyDescent="0.25">
      <c r="A14" s="506">
        <v>15</v>
      </c>
      <c r="B14" s="506" t="s">
        <v>164</v>
      </c>
      <c r="C14" s="586" t="s">
        <v>149</v>
      </c>
      <c r="D14" s="607">
        <v>6.9128834988440957</v>
      </c>
      <c r="E14" s="603">
        <f t="shared" si="1"/>
        <v>14.480209310158015</v>
      </c>
      <c r="F14" s="576">
        <f t="shared" si="2"/>
        <v>151.56987482043917</v>
      </c>
      <c r="G14" s="604">
        <f t="shared" si="0"/>
        <v>4</v>
      </c>
      <c r="H14" s="509">
        <f>F4</f>
        <v>100.1</v>
      </c>
      <c r="I14" s="539"/>
      <c r="J14" s="609"/>
      <c r="K14" s="610"/>
      <c r="M14" s="611" t="s">
        <v>41</v>
      </c>
    </row>
    <row r="15" spans="1:13" x14ac:dyDescent="0.25">
      <c r="A15" s="506">
        <v>16</v>
      </c>
      <c r="B15" s="506" t="s">
        <v>208</v>
      </c>
      <c r="C15" s="586" t="s">
        <v>149</v>
      </c>
      <c r="D15" s="607" t="s">
        <v>41</v>
      </c>
      <c r="E15" s="603"/>
      <c r="F15" s="576"/>
      <c r="G15" s="604"/>
      <c r="H15" s="509"/>
      <c r="I15" s="605"/>
      <c r="J15" s="609"/>
      <c r="K15" s="521"/>
      <c r="M15" s="587"/>
    </row>
    <row r="16" spans="1:13" ht="18.5" customHeight="1" x14ac:dyDescent="0.25">
      <c r="A16" s="506">
        <v>17</v>
      </c>
      <c r="B16" s="506" t="s">
        <v>167</v>
      </c>
      <c r="C16" s="586" t="s">
        <v>149</v>
      </c>
      <c r="D16" s="607">
        <v>5.6020884336005219</v>
      </c>
      <c r="E16" s="603">
        <f t="shared" si="1"/>
        <v>17.868336279665733</v>
      </c>
      <c r="F16" s="576">
        <f t="shared" si="2"/>
        <v>200</v>
      </c>
      <c r="G16" s="604">
        <f t="shared" si="0"/>
        <v>1</v>
      </c>
      <c r="H16" s="509">
        <f>F4</f>
        <v>100.1</v>
      </c>
      <c r="I16" s="605"/>
      <c r="J16" s="609"/>
      <c r="K16" s="521"/>
      <c r="M16" s="587" t="s">
        <v>41</v>
      </c>
    </row>
    <row r="17" spans="1:11" x14ac:dyDescent="0.25">
      <c r="A17" s="506">
        <v>18</v>
      </c>
      <c r="B17" s="506" t="s">
        <v>209</v>
      </c>
      <c r="C17" s="586" t="s">
        <v>149</v>
      </c>
      <c r="D17" s="607" t="s">
        <v>41</v>
      </c>
      <c r="E17" s="603"/>
      <c r="F17" s="576"/>
      <c r="G17" s="604"/>
      <c r="H17" s="509"/>
      <c r="I17" s="605"/>
      <c r="J17" s="606"/>
      <c r="K17" s="521"/>
    </row>
    <row r="18" spans="1:11" x14ac:dyDescent="0.25">
      <c r="A18" s="506">
        <v>19</v>
      </c>
      <c r="B18" s="506" t="s">
        <v>170</v>
      </c>
      <c r="C18" s="586" t="s">
        <v>149</v>
      </c>
      <c r="D18" s="607">
        <v>9.206774863020355</v>
      </c>
      <c r="E18" s="603">
        <f t="shared" si="1"/>
        <v>10.872428346440678</v>
      </c>
      <c r="F18" s="576">
        <f t="shared" si="2"/>
        <v>100</v>
      </c>
      <c r="G18" s="604">
        <f t="shared" si="0"/>
        <v>6</v>
      </c>
      <c r="H18" s="509">
        <f>F4</f>
        <v>100.1</v>
      </c>
      <c r="I18" s="605"/>
      <c r="J18" s="606"/>
      <c r="K18" s="521"/>
    </row>
    <row r="19" spans="1:11" x14ac:dyDescent="0.25">
      <c r="A19" s="506">
        <v>20</v>
      </c>
      <c r="B19" s="506" t="s">
        <v>166</v>
      </c>
      <c r="C19" s="586" t="s">
        <v>149</v>
      </c>
      <c r="D19" s="607" t="s">
        <v>41</v>
      </c>
      <c r="E19" s="603"/>
      <c r="F19" s="576"/>
      <c r="G19" s="604"/>
      <c r="H19" s="509"/>
      <c r="I19" s="605"/>
      <c r="J19" s="606"/>
      <c r="K19" s="521"/>
    </row>
    <row r="20" spans="1:11" x14ac:dyDescent="0.25">
      <c r="A20" s="506">
        <v>21</v>
      </c>
      <c r="B20" s="506" t="s">
        <v>165</v>
      </c>
      <c r="C20" s="586" t="s">
        <v>149</v>
      </c>
      <c r="D20" s="607">
        <v>7.1547563977878514</v>
      </c>
      <c r="E20" s="603">
        <f t="shared" si="1"/>
        <v>13.990692964885497</v>
      </c>
      <c r="F20" s="576">
        <f t="shared" si="2"/>
        <v>144.57269375480939</v>
      </c>
      <c r="G20" s="604">
        <f t="shared" si="0"/>
        <v>5</v>
      </c>
      <c r="H20" s="509">
        <f>F4</f>
        <v>100.1</v>
      </c>
      <c r="I20" s="605"/>
      <c r="K20" s="521"/>
    </row>
    <row r="21" spans="1:11" x14ac:dyDescent="0.25">
      <c r="A21" s="506">
        <v>22</v>
      </c>
      <c r="B21" s="506" t="s">
        <v>172</v>
      </c>
      <c r="C21" s="586" t="s">
        <v>149</v>
      </c>
      <c r="D21" s="602" t="s">
        <v>41</v>
      </c>
      <c r="E21" s="603"/>
      <c r="F21" s="576"/>
      <c r="G21" s="604"/>
      <c r="H21" s="509">
        <v>0</v>
      </c>
      <c r="I21" s="608" t="s">
        <v>241</v>
      </c>
      <c r="J21" s="606"/>
      <c r="K21" s="521"/>
    </row>
    <row r="22" spans="1:11" x14ac:dyDescent="0.25">
      <c r="A22" s="506">
        <v>23</v>
      </c>
      <c r="B22" s="506" t="s">
        <v>210</v>
      </c>
      <c r="C22" s="586" t="s">
        <v>149</v>
      </c>
      <c r="D22" s="607">
        <v>6.5071612167448949</v>
      </c>
      <c r="E22" s="603">
        <f t="shared" si="1"/>
        <v>15.383052096882494</v>
      </c>
      <c r="F22" s="576">
        <f t="shared" si="2"/>
        <v>164.47517310826663</v>
      </c>
      <c r="G22" s="604">
        <f t="shared" si="0"/>
        <v>3</v>
      </c>
      <c r="H22" s="509">
        <f>F4</f>
        <v>100.1</v>
      </c>
      <c r="I22" s="605"/>
      <c r="J22" s="606"/>
    </row>
    <row r="23" spans="1:11" x14ac:dyDescent="0.25">
      <c r="A23" s="506">
        <v>26</v>
      </c>
      <c r="B23" s="506" t="s">
        <v>169</v>
      </c>
      <c r="C23" s="586" t="s">
        <v>149</v>
      </c>
      <c r="D23" s="607"/>
      <c r="E23" s="603"/>
      <c r="F23" s="576"/>
      <c r="G23" s="604"/>
      <c r="H23" s="509"/>
      <c r="I23" s="604"/>
    </row>
    <row r="24" spans="1:11" x14ac:dyDescent="0.25">
      <c r="C24" s="612"/>
      <c r="D24" s="524"/>
      <c r="E24" s="499"/>
      <c r="F24" s="613"/>
      <c r="H24" s="499"/>
    </row>
  </sheetData>
  <phoneticPr fontId="31" type="noConversion"/>
  <printOptions gridLines="1"/>
  <pageMargins left="0.75" right="0.75" top="1" bottom="1" header="0.5" footer="0.5"/>
  <pageSetup scale="6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5"/>
  <sheetViews>
    <sheetView zoomScaleNormal="100" workbookViewId="0">
      <selection activeCell="A9" sqref="A9"/>
    </sheetView>
  </sheetViews>
  <sheetFormatPr defaultColWidth="8.81640625" defaultRowHeight="11.5" x14ac:dyDescent="0.25"/>
  <cols>
    <col min="1" max="1" width="8.81640625" style="494"/>
    <col min="2" max="2" width="55.453125" style="494" customWidth="1"/>
    <col min="3" max="4" width="11.54296875" style="494" customWidth="1"/>
    <col min="5" max="5" width="11" style="587" customWidth="1"/>
    <col min="6" max="6" width="18.453125" style="494" customWidth="1"/>
    <col min="7" max="7" width="18.81640625" style="494" customWidth="1"/>
    <col min="8" max="8" width="16.81640625" style="494" customWidth="1"/>
    <col min="9" max="9" width="16" style="500" customWidth="1"/>
    <col min="10" max="10" width="15.81640625" style="494" customWidth="1"/>
    <col min="11" max="11" width="11.453125" style="494" customWidth="1"/>
    <col min="12" max="12" width="12.1796875" style="494" customWidth="1"/>
    <col min="13" max="13" width="10.453125" style="494" customWidth="1"/>
    <col min="14" max="14" width="13.81640625" style="494" customWidth="1"/>
    <col min="15" max="15" width="13.1796875" style="494" customWidth="1"/>
    <col min="16" max="16" width="12.1796875" style="494" customWidth="1"/>
    <col min="17" max="17" width="14.1796875" style="494" customWidth="1"/>
    <col min="18" max="18" width="12.81640625" style="494" customWidth="1"/>
    <col min="19" max="19" width="12.453125" style="494" customWidth="1"/>
    <col min="20" max="20" width="11" style="494" customWidth="1"/>
    <col min="21" max="16384" width="8.81640625" style="494"/>
  </cols>
  <sheetData>
    <row r="1" spans="1:19" x14ac:dyDescent="0.25">
      <c r="B1" s="519" t="s">
        <v>224</v>
      </c>
      <c r="C1" s="519"/>
      <c r="D1" s="519"/>
      <c r="E1" s="520"/>
      <c r="F1" s="521"/>
      <c r="G1" s="521"/>
      <c r="H1" s="522"/>
      <c r="I1" s="523" t="s">
        <v>112</v>
      </c>
      <c r="J1" s="524"/>
      <c r="K1" s="525"/>
      <c r="L1" s="521"/>
      <c r="M1" s="521"/>
      <c r="N1" s="521"/>
      <c r="O1" s="521"/>
      <c r="P1" s="521"/>
      <c r="Q1" s="521"/>
      <c r="R1" s="521"/>
      <c r="S1" s="521"/>
    </row>
    <row r="2" spans="1:19" x14ac:dyDescent="0.25">
      <c r="B2" s="521"/>
      <c r="C2" s="526" t="s">
        <v>231</v>
      </c>
      <c r="D2" s="526"/>
      <c r="E2" s="527" t="s">
        <v>234</v>
      </c>
      <c r="G2" s="525"/>
      <c r="H2" s="522"/>
      <c r="I2" s="523" t="s">
        <v>99</v>
      </c>
      <c r="J2" s="524"/>
      <c r="K2" s="525"/>
      <c r="L2" s="521"/>
      <c r="M2" s="521"/>
      <c r="N2" s="521"/>
      <c r="O2" s="521"/>
      <c r="P2" s="521"/>
      <c r="Q2" s="521"/>
      <c r="R2" s="521"/>
      <c r="S2" s="521"/>
    </row>
    <row r="3" spans="1:19" ht="23" x14ac:dyDescent="0.25">
      <c r="B3" s="528" t="s">
        <v>151</v>
      </c>
      <c r="C3" s="528"/>
      <c r="D3" s="528"/>
      <c r="E3" s="523"/>
      <c r="F3" s="529" t="s">
        <v>132</v>
      </c>
      <c r="G3" s="530"/>
      <c r="H3" s="531" t="s">
        <v>33</v>
      </c>
      <c r="I3" s="531" t="s">
        <v>66</v>
      </c>
      <c r="J3" s="531" t="s">
        <v>67</v>
      </c>
      <c r="K3" s="532"/>
      <c r="L3" s="521"/>
      <c r="M3" s="521"/>
      <c r="N3" s="521"/>
      <c r="O3" s="521"/>
      <c r="P3" s="521"/>
      <c r="Q3" s="521"/>
      <c r="R3" s="521"/>
      <c r="S3" s="521"/>
    </row>
    <row r="4" spans="1:19" x14ac:dyDescent="0.25">
      <c r="B4" s="521"/>
      <c r="C4" s="521"/>
      <c r="D4" s="521"/>
      <c r="E4" s="533" t="s">
        <v>150</v>
      </c>
      <c r="F4" s="531" t="s">
        <v>47</v>
      </c>
      <c r="G4" s="534"/>
      <c r="H4" s="535" t="s">
        <v>69</v>
      </c>
      <c r="I4" s="531" t="s">
        <v>9</v>
      </c>
      <c r="J4" s="536" t="s">
        <v>47</v>
      </c>
      <c r="K4" s="534" t="s">
        <v>26</v>
      </c>
      <c r="L4" s="534"/>
      <c r="M4" s="537"/>
      <c r="N4" s="537"/>
      <c r="O4" s="538"/>
      <c r="P4" s="538"/>
      <c r="Q4" s="538"/>
      <c r="R4" s="538"/>
      <c r="S4" s="531"/>
    </row>
    <row r="5" spans="1:19" x14ac:dyDescent="0.25">
      <c r="A5" s="506">
        <v>11</v>
      </c>
      <c r="B5" s="506" t="s">
        <v>168</v>
      </c>
      <c r="C5" s="539" t="s">
        <v>275</v>
      </c>
      <c r="D5" s="506" t="str">
        <f>IF(C5&lt;=$C$20,"Pass","Fail")</f>
        <v>Fail</v>
      </c>
      <c r="E5" s="539" t="s">
        <v>275</v>
      </c>
      <c r="F5" s="509">
        <v>0</v>
      </c>
      <c r="G5" s="540"/>
      <c r="H5" s="539" t="s">
        <v>275</v>
      </c>
      <c r="I5" s="541"/>
      <c r="J5" s="542">
        <f>+F5+I5</f>
        <v>0</v>
      </c>
      <c r="K5" s="543"/>
      <c r="L5" s="544"/>
      <c r="M5" s="545"/>
      <c r="N5" s="540"/>
      <c r="O5" s="545"/>
      <c r="P5" s="545"/>
      <c r="Q5" s="499"/>
    </row>
    <row r="6" spans="1:19" x14ac:dyDescent="0.25">
      <c r="A6" s="506">
        <v>12</v>
      </c>
      <c r="B6" s="506" t="s">
        <v>171</v>
      </c>
      <c r="C6" s="539" t="s">
        <v>275</v>
      </c>
      <c r="D6" s="506" t="str">
        <f t="shared" ref="D6:D18" si="0">IF(C6&lt;=$C$20,"Pass","Fail")</f>
        <v>Fail</v>
      </c>
      <c r="E6" s="539" t="s">
        <v>275</v>
      </c>
      <c r="F6" s="509">
        <v>0</v>
      </c>
      <c r="G6" s="540"/>
      <c r="H6" s="539" t="s">
        <v>275</v>
      </c>
      <c r="I6" s="541"/>
      <c r="J6" s="542">
        <f t="shared" ref="J6:J18" si="1">+F6+I6</f>
        <v>0</v>
      </c>
      <c r="K6" s="543"/>
      <c r="L6" s="544"/>
      <c r="M6" s="545"/>
      <c r="N6" s="540"/>
      <c r="O6" s="545"/>
      <c r="P6" s="545"/>
      <c r="Q6" s="499"/>
    </row>
    <row r="7" spans="1:19" x14ac:dyDescent="0.25">
      <c r="A7" s="506">
        <v>13</v>
      </c>
      <c r="B7" s="506" t="s">
        <v>173</v>
      </c>
      <c r="C7" s="539">
        <v>80</v>
      </c>
      <c r="D7" s="506" t="str">
        <f t="shared" si="0"/>
        <v>Pass</v>
      </c>
      <c r="E7" s="539">
        <v>71</v>
      </c>
      <c r="F7" s="509">
        <v>75.2</v>
      </c>
      <c r="G7" s="540"/>
      <c r="H7" s="539">
        <v>3.22</v>
      </c>
      <c r="I7" s="541">
        <f>-($H$23*H7)+$H$24</f>
        <v>0</v>
      </c>
      <c r="J7" s="542">
        <f t="shared" si="1"/>
        <v>75.2</v>
      </c>
      <c r="K7" s="543">
        <f t="shared" ref="K7:K17" si="2">RANK(J7, $J$5:$J$18)</f>
        <v>7</v>
      </c>
      <c r="L7" s="544"/>
      <c r="M7" s="545"/>
      <c r="N7" s="540"/>
      <c r="O7" s="545"/>
      <c r="P7" s="545"/>
      <c r="Q7" s="499"/>
    </row>
    <row r="8" spans="1:19" x14ac:dyDescent="0.25">
      <c r="A8" s="506">
        <v>14</v>
      </c>
      <c r="B8" s="506" t="s">
        <v>198</v>
      </c>
      <c r="C8" s="539">
        <v>72</v>
      </c>
      <c r="D8" s="506" t="str">
        <f t="shared" si="0"/>
        <v>Pass</v>
      </c>
      <c r="E8" s="539">
        <v>68</v>
      </c>
      <c r="F8" s="509">
        <v>150</v>
      </c>
      <c r="G8" s="540"/>
      <c r="H8" s="539">
        <v>2.13</v>
      </c>
      <c r="I8" s="541">
        <f>-($H$23*H8)+$H$24</f>
        <v>150</v>
      </c>
      <c r="J8" s="542">
        <f t="shared" si="1"/>
        <v>300</v>
      </c>
      <c r="K8" s="543">
        <f t="shared" si="2"/>
        <v>1</v>
      </c>
      <c r="L8" s="544"/>
      <c r="M8" s="545"/>
      <c r="N8" s="540"/>
      <c r="O8" s="545"/>
      <c r="P8" s="545"/>
      <c r="Q8" s="499"/>
    </row>
    <row r="9" spans="1:19" x14ac:dyDescent="0.25">
      <c r="A9" s="506">
        <v>15</v>
      </c>
      <c r="B9" s="506" t="s">
        <v>164</v>
      </c>
      <c r="C9" s="539">
        <v>78</v>
      </c>
      <c r="D9" s="506" t="str">
        <f t="shared" si="0"/>
        <v>Pass</v>
      </c>
      <c r="E9" s="539">
        <v>71</v>
      </c>
      <c r="F9" s="509">
        <v>75.2</v>
      </c>
      <c r="G9" s="540"/>
      <c r="H9" s="539">
        <v>2.9</v>
      </c>
      <c r="I9" s="541">
        <f>-($H$23*H9)+$H$24</f>
        <v>44.036697247706456</v>
      </c>
      <c r="J9" s="542">
        <f t="shared" si="1"/>
        <v>119.23669724770646</v>
      </c>
      <c r="K9" s="543">
        <f t="shared" si="2"/>
        <v>6</v>
      </c>
      <c r="L9" s="544"/>
      <c r="M9" s="545"/>
      <c r="N9" s="540"/>
      <c r="O9" s="545"/>
      <c r="P9" s="545"/>
      <c r="Q9" s="499"/>
    </row>
    <row r="10" spans="1:19" x14ac:dyDescent="0.25">
      <c r="A10" s="506">
        <v>16</v>
      </c>
      <c r="B10" s="506" t="s">
        <v>208</v>
      </c>
      <c r="C10" s="539" t="s">
        <v>275</v>
      </c>
      <c r="D10" s="506" t="str">
        <f t="shared" si="0"/>
        <v>Fail</v>
      </c>
      <c r="E10" s="539" t="s">
        <v>275</v>
      </c>
      <c r="F10" s="509">
        <v>0</v>
      </c>
      <c r="G10" s="540"/>
      <c r="H10" s="539" t="s">
        <v>275</v>
      </c>
      <c r="I10" s="541"/>
      <c r="J10" s="542">
        <f t="shared" si="1"/>
        <v>0</v>
      </c>
      <c r="K10" s="543"/>
      <c r="L10" s="544"/>
      <c r="O10" s="545"/>
      <c r="P10" s="545"/>
      <c r="Q10" s="499"/>
    </row>
    <row r="11" spans="1:19" x14ac:dyDescent="0.25">
      <c r="A11" s="506">
        <v>17</v>
      </c>
      <c r="B11" s="506" t="s">
        <v>167</v>
      </c>
      <c r="C11" s="539">
        <v>81</v>
      </c>
      <c r="D11" s="506" t="str">
        <f t="shared" si="0"/>
        <v>Pass</v>
      </c>
      <c r="E11" s="539">
        <v>69</v>
      </c>
      <c r="F11" s="509">
        <v>119.1</v>
      </c>
      <c r="G11" s="540"/>
      <c r="H11" s="539">
        <v>2.44</v>
      </c>
      <c r="I11" s="541">
        <f t="shared" ref="I11:I17" si="3">-($H$23*H11)+$H$24</f>
        <v>107.33944954128441</v>
      </c>
      <c r="J11" s="542">
        <f t="shared" si="1"/>
        <v>226.4394495412844</v>
      </c>
      <c r="K11" s="543">
        <f t="shared" si="2"/>
        <v>3</v>
      </c>
      <c r="L11" s="544"/>
      <c r="O11" s="545"/>
      <c r="P11" s="545"/>
      <c r="Q11" s="499"/>
    </row>
    <row r="12" spans="1:19" x14ac:dyDescent="0.25">
      <c r="A12" s="506">
        <v>18</v>
      </c>
      <c r="B12" s="506" t="s">
        <v>209</v>
      </c>
      <c r="C12" s="539" t="s">
        <v>275</v>
      </c>
      <c r="D12" s="506" t="str">
        <f t="shared" si="0"/>
        <v>Fail</v>
      </c>
      <c r="E12" s="539" t="s">
        <v>275</v>
      </c>
      <c r="F12" s="509">
        <v>0</v>
      </c>
      <c r="G12" s="540"/>
      <c r="H12" s="539" t="s">
        <v>275</v>
      </c>
      <c r="I12" s="541"/>
      <c r="J12" s="542">
        <f t="shared" si="1"/>
        <v>0</v>
      </c>
      <c r="K12" s="543"/>
      <c r="L12" s="544"/>
      <c r="M12" s="545"/>
      <c r="N12" s="540"/>
      <c r="O12" s="545"/>
      <c r="P12" s="545"/>
      <c r="Q12" s="499"/>
    </row>
    <row r="13" spans="1:19" x14ac:dyDescent="0.25">
      <c r="A13" s="506">
        <v>19</v>
      </c>
      <c r="B13" s="506" t="s">
        <v>170</v>
      </c>
      <c r="C13" s="539">
        <v>80</v>
      </c>
      <c r="D13" s="506" t="str">
        <f t="shared" si="0"/>
        <v>Pass</v>
      </c>
      <c r="E13" s="539">
        <v>70</v>
      </c>
      <c r="F13" s="509">
        <v>94.6</v>
      </c>
      <c r="G13" s="540"/>
      <c r="H13" s="539">
        <v>2.27</v>
      </c>
      <c r="I13" s="541">
        <f t="shared" si="3"/>
        <v>130.73394495412839</v>
      </c>
      <c r="J13" s="542">
        <f t="shared" si="1"/>
        <v>225.33394495412838</v>
      </c>
      <c r="K13" s="543">
        <f t="shared" si="2"/>
        <v>4</v>
      </c>
      <c r="L13" s="544"/>
      <c r="M13" s="545"/>
      <c r="N13" s="540"/>
      <c r="O13" s="545"/>
      <c r="P13" s="545"/>
      <c r="Q13" s="499"/>
    </row>
    <row r="14" spans="1:19" x14ac:dyDescent="0.25">
      <c r="A14" s="506">
        <v>20</v>
      </c>
      <c r="B14" s="506" t="s">
        <v>166</v>
      </c>
      <c r="C14" s="539">
        <v>76</v>
      </c>
      <c r="D14" s="506" t="str">
        <f t="shared" si="0"/>
        <v>Pass</v>
      </c>
      <c r="E14" s="539">
        <v>69</v>
      </c>
      <c r="F14" s="509">
        <v>119.1</v>
      </c>
      <c r="G14" s="540"/>
      <c r="H14" s="539">
        <v>2.95</v>
      </c>
      <c r="I14" s="541">
        <f t="shared" si="3"/>
        <v>37.155963302752241</v>
      </c>
      <c r="J14" s="542">
        <f t="shared" si="1"/>
        <v>156.25596330275224</v>
      </c>
      <c r="K14" s="543">
        <f t="shared" si="2"/>
        <v>5</v>
      </c>
      <c r="L14" s="544"/>
      <c r="M14" s="545"/>
      <c r="N14" s="540"/>
      <c r="O14" s="545"/>
      <c r="P14" s="545"/>
      <c r="Q14" s="499"/>
    </row>
    <row r="15" spans="1:19" x14ac:dyDescent="0.25">
      <c r="A15" s="506">
        <v>21</v>
      </c>
      <c r="B15" s="506" t="s">
        <v>165</v>
      </c>
      <c r="C15" s="539" t="s">
        <v>275</v>
      </c>
      <c r="D15" s="506" t="str">
        <f t="shared" si="0"/>
        <v>Fail</v>
      </c>
      <c r="E15" s="539" t="s">
        <v>275</v>
      </c>
      <c r="F15" s="509">
        <v>0</v>
      </c>
      <c r="G15" s="540"/>
      <c r="H15" s="539" t="s">
        <v>275</v>
      </c>
      <c r="I15" s="541"/>
      <c r="J15" s="542">
        <f t="shared" si="1"/>
        <v>0</v>
      </c>
      <c r="K15" s="543"/>
      <c r="L15" s="544"/>
      <c r="M15" s="545"/>
      <c r="N15" s="540"/>
      <c r="O15" s="545"/>
      <c r="P15" s="545"/>
      <c r="Q15" s="499"/>
    </row>
    <row r="16" spans="1:19" s="550" customFormat="1" x14ac:dyDescent="0.25">
      <c r="A16" s="506">
        <v>22</v>
      </c>
      <c r="B16" s="506" t="s">
        <v>172</v>
      </c>
      <c r="C16" s="539" t="s">
        <v>275</v>
      </c>
      <c r="D16" s="506" t="str">
        <f t="shared" si="0"/>
        <v>Fail</v>
      </c>
      <c r="E16" s="539" t="s">
        <v>275</v>
      </c>
      <c r="F16" s="509">
        <v>0</v>
      </c>
      <c r="G16" s="540"/>
      <c r="H16" s="539" t="s">
        <v>275</v>
      </c>
      <c r="I16" s="541"/>
      <c r="J16" s="542">
        <f t="shared" si="1"/>
        <v>0</v>
      </c>
      <c r="K16" s="543"/>
      <c r="L16" s="546"/>
      <c r="M16" s="547"/>
      <c r="N16" s="548"/>
      <c r="O16" s="547"/>
      <c r="P16" s="547"/>
      <c r="Q16" s="549"/>
    </row>
    <row r="17" spans="1:15" s="550" customFormat="1" x14ac:dyDescent="0.25">
      <c r="A17" s="506">
        <v>23</v>
      </c>
      <c r="B17" s="506" t="s">
        <v>210</v>
      </c>
      <c r="C17" s="539">
        <v>76</v>
      </c>
      <c r="D17" s="506" t="str">
        <f t="shared" si="0"/>
        <v>Pass</v>
      </c>
      <c r="E17" s="539">
        <v>69</v>
      </c>
      <c r="F17" s="509">
        <v>119.1</v>
      </c>
      <c r="G17" s="540"/>
      <c r="H17" s="539">
        <v>2.35</v>
      </c>
      <c r="I17" s="541">
        <f t="shared" si="3"/>
        <v>119.7247706422018</v>
      </c>
      <c r="J17" s="542">
        <f t="shared" si="1"/>
        <v>238.8247706422018</v>
      </c>
      <c r="K17" s="543">
        <f t="shared" si="2"/>
        <v>2</v>
      </c>
      <c r="L17" s="551"/>
    </row>
    <row r="18" spans="1:15" x14ac:dyDescent="0.25">
      <c r="A18" s="506">
        <v>26</v>
      </c>
      <c r="B18" s="506" t="s">
        <v>169</v>
      </c>
      <c r="C18" s="539" t="s">
        <v>275</v>
      </c>
      <c r="D18" s="506" t="str">
        <f t="shared" si="0"/>
        <v>Fail</v>
      </c>
      <c r="E18" s="539" t="s">
        <v>275</v>
      </c>
      <c r="F18" s="509">
        <v>0</v>
      </c>
      <c r="H18" s="539" t="s">
        <v>275</v>
      </c>
      <c r="I18" s="541"/>
      <c r="J18" s="542">
        <f t="shared" si="1"/>
        <v>0</v>
      </c>
      <c r="K18" s="543"/>
      <c r="L18" s="552"/>
      <c r="M18" s="553"/>
      <c r="N18" s="554"/>
      <c r="O18" s="555"/>
    </row>
    <row r="19" spans="1:15" x14ac:dyDescent="0.25">
      <c r="A19" s="555"/>
      <c r="B19" s="555"/>
      <c r="C19" s="556"/>
      <c r="D19" s="555"/>
      <c r="E19" s="557"/>
      <c r="F19" s="558"/>
      <c r="H19" s="555"/>
      <c r="I19" s="559"/>
      <c r="J19" s="560"/>
      <c r="K19" s="561"/>
      <c r="L19" s="552"/>
      <c r="M19" s="553"/>
      <c r="N19" s="554"/>
      <c r="O19" s="555"/>
    </row>
    <row r="20" spans="1:15" x14ac:dyDescent="0.25">
      <c r="A20" s="555"/>
      <c r="B20" s="562" t="s">
        <v>232</v>
      </c>
      <c r="C20" s="556">
        <v>83</v>
      </c>
      <c r="D20" s="555"/>
      <c r="E20" s="557"/>
      <c r="F20" s="558"/>
      <c r="H20" s="555"/>
      <c r="I20" s="559"/>
      <c r="J20" s="560"/>
      <c r="K20" s="561"/>
      <c r="L20" s="552"/>
      <c r="M20" s="553"/>
      <c r="N20" s="554"/>
      <c r="O20" s="555"/>
    </row>
    <row r="21" spans="1:15" x14ac:dyDescent="0.25">
      <c r="B21" s="563"/>
      <c r="C21" s="563"/>
      <c r="D21" s="563"/>
      <c r="E21" s="564"/>
      <c r="F21" s="565"/>
      <c r="G21" s="566" t="s">
        <v>126</v>
      </c>
      <c r="H21" s="567">
        <f>MIN(H5:H18)</f>
        <v>2.13</v>
      </c>
      <c r="I21" s="565"/>
      <c r="J21" s="565"/>
      <c r="K21" s="568"/>
      <c r="L21" s="552"/>
      <c r="M21" s="555"/>
      <c r="N21" s="555"/>
      <c r="O21" s="555"/>
    </row>
    <row r="22" spans="1:15" x14ac:dyDescent="0.25">
      <c r="B22" s="563" t="s">
        <v>233</v>
      </c>
      <c r="C22" s="563"/>
      <c r="D22" s="563"/>
      <c r="E22" s="564">
        <v>74</v>
      </c>
      <c r="F22" s="565"/>
      <c r="G22" s="565" t="s">
        <v>128</v>
      </c>
      <c r="H22" s="567">
        <f>MAX(H5:H18)</f>
        <v>3.22</v>
      </c>
      <c r="I22" s="565"/>
      <c r="J22" s="565"/>
      <c r="K22" s="568"/>
      <c r="L22" s="552"/>
      <c r="M22" s="555"/>
      <c r="N22" s="555"/>
      <c r="O22" s="555"/>
    </row>
    <row r="23" spans="1:15" x14ac:dyDescent="0.25">
      <c r="B23" s="569"/>
      <c r="C23" s="569"/>
      <c r="D23" s="569"/>
      <c r="E23" s="564"/>
      <c r="F23" s="565"/>
      <c r="G23" s="565" t="s">
        <v>125</v>
      </c>
      <c r="H23" s="565">
        <f>150/(H22-H21)</f>
        <v>137.61467889908252</v>
      </c>
      <c r="I23" s="570"/>
      <c r="J23" s="565"/>
      <c r="K23" s="568"/>
      <c r="L23" s="552"/>
      <c r="M23" s="555"/>
      <c r="N23" s="555"/>
      <c r="O23" s="555"/>
    </row>
    <row r="24" spans="1:15" x14ac:dyDescent="0.25">
      <c r="B24" s="571"/>
      <c r="C24" s="571"/>
      <c r="D24" s="571"/>
      <c r="E24" s="564"/>
      <c r="F24" s="565"/>
      <c r="G24" s="565" t="s">
        <v>127</v>
      </c>
      <c r="H24" s="565">
        <f>H23*H22</f>
        <v>443.11926605504573</v>
      </c>
      <c r="I24" s="570"/>
      <c r="J24" s="565"/>
      <c r="K24" s="568"/>
      <c r="L24" s="552"/>
      <c r="M24" s="555"/>
      <c r="N24" s="555"/>
      <c r="O24" s="555"/>
    </row>
    <row r="25" spans="1:15" x14ac:dyDescent="0.25">
      <c r="B25" s="572"/>
      <c r="C25" s="572"/>
      <c r="D25" s="572"/>
      <c r="E25" s="564"/>
      <c r="F25" s="565"/>
      <c r="G25" s="565"/>
      <c r="H25" s="565"/>
      <c r="I25" s="570"/>
      <c r="J25" s="565"/>
      <c r="K25" s="568"/>
      <c r="L25" s="552"/>
      <c r="M25" s="555"/>
      <c r="N25" s="555"/>
      <c r="O25" s="555"/>
    </row>
    <row r="26" spans="1:15" x14ac:dyDescent="0.25">
      <c r="B26" s="572"/>
      <c r="C26" s="572"/>
      <c r="D26" s="572"/>
      <c r="E26" s="564"/>
      <c r="F26" s="565"/>
      <c r="G26" s="565"/>
      <c r="I26" s="570"/>
      <c r="J26" s="565"/>
      <c r="K26" s="568"/>
      <c r="L26" s="552"/>
      <c r="M26" s="555"/>
      <c r="N26" s="555"/>
      <c r="O26" s="555"/>
    </row>
    <row r="27" spans="1:15" x14ac:dyDescent="0.25">
      <c r="B27" s="572"/>
      <c r="C27" s="572"/>
      <c r="D27" s="572"/>
      <c r="E27" s="573" t="s">
        <v>133</v>
      </c>
      <c r="F27" s="565"/>
      <c r="G27" s="565"/>
      <c r="I27" s="570"/>
      <c r="J27" s="565"/>
      <c r="K27" s="568"/>
      <c r="L27" s="552"/>
      <c r="M27" s="555"/>
      <c r="N27" s="555"/>
      <c r="O27" s="555"/>
    </row>
    <row r="28" spans="1:15" x14ac:dyDescent="0.25">
      <c r="B28" s="572"/>
      <c r="C28" s="572"/>
      <c r="D28" s="574" t="s">
        <v>41</v>
      </c>
      <c r="E28" s="575" t="s">
        <v>97</v>
      </c>
      <c r="F28" s="576" t="s">
        <v>47</v>
      </c>
      <c r="G28" s="565"/>
      <c r="H28" s="565"/>
      <c r="I28" s="570"/>
      <c r="J28" s="565"/>
      <c r="K28" s="568"/>
      <c r="L28" s="552"/>
      <c r="M28" s="555"/>
      <c r="N28" s="555"/>
      <c r="O28" s="555"/>
    </row>
    <row r="29" spans="1:15" x14ac:dyDescent="0.25">
      <c r="B29" s="577"/>
      <c r="C29" s="577"/>
      <c r="D29" s="574" t="s">
        <v>235</v>
      </c>
      <c r="E29" s="578">
        <v>68</v>
      </c>
      <c r="F29" s="510">
        <f>10^(($E$29-E29)/10)*150</f>
        <v>150</v>
      </c>
      <c r="G29" s="579" t="s">
        <v>134</v>
      </c>
      <c r="H29" s="565"/>
      <c r="I29" s="570"/>
      <c r="J29" s="565"/>
      <c r="K29" s="568"/>
      <c r="L29" s="552"/>
      <c r="M29" s="555"/>
      <c r="N29" s="555"/>
      <c r="O29" s="555"/>
    </row>
    <row r="30" spans="1:15" x14ac:dyDescent="0.25">
      <c r="B30" s="572"/>
      <c r="C30" s="572"/>
      <c r="D30" s="572"/>
      <c r="E30" s="575">
        <f>E29+0.5</f>
        <v>68.5</v>
      </c>
      <c r="F30" s="510">
        <f t="shared" ref="F30:F45" si="4">10^(($E$29-E30)/10)*150</f>
        <v>133.68764072006181</v>
      </c>
      <c r="G30" s="580" t="s">
        <v>236</v>
      </c>
      <c r="H30" s="565"/>
      <c r="I30" s="570"/>
      <c r="J30" s="565"/>
      <c r="K30" s="568"/>
      <c r="L30" s="552"/>
      <c r="M30" s="555"/>
      <c r="N30" s="555"/>
      <c r="O30" s="555"/>
    </row>
    <row r="31" spans="1:15" x14ac:dyDescent="0.25">
      <c r="B31" s="572"/>
      <c r="C31" s="572"/>
      <c r="D31" s="572"/>
      <c r="E31" s="575">
        <f t="shared" ref="E31:E45" si="5">E30+0.5</f>
        <v>69</v>
      </c>
      <c r="F31" s="510">
        <f t="shared" si="4"/>
        <v>119.14923520864222</v>
      </c>
      <c r="G31" s="580" t="s">
        <v>237</v>
      </c>
      <c r="H31" s="565"/>
      <c r="I31" s="570"/>
      <c r="J31" s="565"/>
      <c r="K31" s="568"/>
      <c r="L31" s="552"/>
      <c r="M31" s="555"/>
      <c r="N31" s="555"/>
      <c r="O31" s="555"/>
    </row>
    <row r="32" spans="1:15" x14ac:dyDescent="0.25">
      <c r="B32" s="572"/>
      <c r="C32" s="572"/>
      <c r="D32" s="572"/>
      <c r="E32" s="575">
        <f t="shared" si="5"/>
        <v>69.5</v>
      </c>
      <c r="F32" s="510">
        <f t="shared" si="4"/>
        <v>106.19186765762069</v>
      </c>
      <c r="G32" s="580" t="s">
        <v>238</v>
      </c>
      <c r="H32" s="565"/>
      <c r="I32" s="570"/>
      <c r="J32" s="565"/>
      <c r="K32" s="568"/>
      <c r="L32" s="552"/>
      <c r="M32" s="555"/>
      <c r="N32" s="555"/>
      <c r="O32" s="555"/>
    </row>
    <row r="33" spans="2:15" x14ac:dyDescent="0.25">
      <c r="B33" s="572"/>
      <c r="C33" s="572"/>
      <c r="D33" s="572"/>
      <c r="E33" s="575">
        <f t="shared" si="5"/>
        <v>70</v>
      </c>
      <c r="F33" s="510">
        <f t="shared" si="4"/>
        <v>94.643601672028993</v>
      </c>
      <c r="G33" s="565"/>
      <c r="H33" s="565"/>
      <c r="I33" s="570"/>
      <c r="J33" s="565"/>
      <c r="K33" s="568"/>
      <c r="L33" s="552"/>
      <c r="M33" s="555"/>
      <c r="N33" s="555"/>
      <c r="O33" s="555"/>
    </row>
    <row r="34" spans="2:15" x14ac:dyDescent="0.25">
      <c r="B34" s="572"/>
      <c r="C34" s="572"/>
      <c r="D34" s="572"/>
      <c r="E34" s="575">
        <f t="shared" si="5"/>
        <v>70.5</v>
      </c>
      <c r="F34" s="510">
        <f t="shared" si="4"/>
        <v>84.351198778552359</v>
      </c>
      <c r="G34" s="565"/>
      <c r="H34" s="565"/>
      <c r="I34" s="570"/>
      <c r="J34" s="565"/>
      <c r="K34" s="568"/>
      <c r="L34" s="552"/>
      <c r="M34" s="555"/>
      <c r="N34" s="555"/>
      <c r="O34" s="555"/>
    </row>
    <row r="35" spans="2:15" x14ac:dyDescent="0.25">
      <c r="B35" s="581" t="s">
        <v>205</v>
      </c>
      <c r="C35" s="581"/>
      <c r="D35" s="581"/>
      <c r="E35" s="576">
        <f t="shared" si="5"/>
        <v>71</v>
      </c>
      <c r="F35" s="511">
        <f t="shared" si="4"/>
        <v>75.178085044090835</v>
      </c>
      <c r="G35" s="582"/>
      <c r="H35" s="565"/>
      <c r="I35" s="583"/>
      <c r="J35" s="563"/>
      <c r="K35" s="568"/>
      <c r="L35" s="552"/>
      <c r="M35" s="555"/>
      <c r="N35" s="555"/>
      <c r="O35" s="555"/>
    </row>
    <row r="36" spans="2:15" x14ac:dyDescent="0.25">
      <c r="B36" s="572"/>
      <c r="C36" s="572"/>
      <c r="D36" s="572"/>
      <c r="E36" s="575">
        <f t="shared" si="5"/>
        <v>71.5</v>
      </c>
      <c r="F36" s="510">
        <f t="shared" si="4"/>
        <v>67.002538822644468</v>
      </c>
      <c r="G36" s="565"/>
      <c r="H36" s="565"/>
      <c r="I36" s="570"/>
      <c r="J36" s="565"/>
      <c r="K36" s="568"/>
      <c r="L36" s="552"/>
      <c r="M36" s="555"/>
      <c r="N36" s="555"/>
      <c r="O36" s="555"/>
    </row>
    <row r="37" spans="2:15" x14ac:dyDescent="0.25">
      <c r="B37" s="555"/>
      <c r="C37" s="555"/>
      <c r="D37" s="555"/>
      <c r="E37" s="575">
        <f t="shared" si="5"/>
        <v>72</v>
      </c>
      <c r="F37" s="510">
        <f t="shared" si="4"/>
        <v>59.716075583024583</v>
      </c>
      <c r="G37" s="555"/>
      <c r="H37" s="555"/>
      <c r="I37" s="584"/>
      <c r="J37" s="555"/>
      <c r="K37" s="555"/>
      <c r="L37" s="552"/>
      <c r="M37" s="555"/>
      <c r="N37" s="555"/>
      <c r="O37" s="555"/>
    </row>
    <row r="38" spans="2:15" x14ac:dyDescent="0.25">
      <c r="B38" s="555"/>
      <c r="C38" s="555"/>
      <c r="D38" s="555"/>
      <c r="E38" s="575">
        <f t="shared" si="5"/>
        <v>72.5</v>
      </c>
      <c r="F38" s="510">
        <f t="shared" si="4"/>
        <v>53.222008385036311</v>
      </c>
      <c r="G38" s="552"/>
      <c r="H38" s="552"/>
      <c r="I38" s="585"/>
      <c r="J38" s="552"/>
      <c r="K38" s="552"/>
      <c r="L38" s="552"/>
      <c r="M38" s="555"/>
      <c r="N38" s="555"/>
      <c r="O38" s="555"/>
    </row>
    <row r="39" spans="2:15" x14ac:dyDescent="0.25">
      <c r="E39" s="575">
        <f t="shared" si="5"/>
        <v>73</v>
      </c>
      <c r="F39" s="510">
        <f t="shared" si="4"/>
        <v>47.434164902525694</v>
      </c>
      <c r="G39" s="552"/>
      <c r="H39" s="552"/>
      <c r="I39" s="585"/>
      <c r="J39" s="552"/>
      <c r="K39" s="552"/>
      <c r="L39" s="552"/>
    </row>
    <row r="40" spans="2:15" x14ac:dyDescent="0.25">
      <c r="E40" s="575">
        <f t="shared" si="5"/>
        <v>73.5</v>
      </c>
      <c r="F40" s="510">
        <f t="shared" si="4"/>
        <v>42.2757439689668</v>
      </c>
      <c r="G40" s="552"/>
      <c r="H40" s="552"/>
      <c r="I40" s="585"/>
      <c r="J40" s="552"/>
      <c r="K40" s="552"/>
      <c r="L40" s="552"/>
    </row>
    <row r="41" spans="2:15" x14ac:dyDescent="0.25">
      <c r="E41" s="575">
        <f t="shared" si="5"/>
        <v>74</v>
      </c>
      <c r="F41" s="510">
        <f t="shared" si="4"/>
        <v>37.678296472643702</v>
      </c>
      <c r="G41" s="552"/>
      <c r="H41" s="552"/>
      <c r="I41" s="585"/>
      <c r="J41" s="552"/>
      <c r="K41" s="552"/>
      <c r="L41" s="552"/>
    </row>
    <row r="42" spans="2:15" x14ac:dyDescent="0.25">
      <c r="E42" s="575">
        <f t="shared" si="5"/>
        <v>74.5</v>
      </c>
      <c r="F42" s="510">
        <f t="shared" si="4"/>
        <v>33.580817078525087</v>
      </c>
      <c r="G42" s="552"/>
      <c r="H42" s="552"/>
      <c r="I42" s="585"/>
      <c r="J42" s="552"/>
      <c r="K42" s="552"/>
      <c r="L42" s="552"/>
    </row>
    <row r="43" spans="2:15" x14ac:dyDescent="0.25">
      <c r="E43" s="575">
        <f t="shared" si="5"/>
        <v>75</v>
      </c>
      <c r="F43" s="510">
        <f t="shared" si="4"/>
        <v>29.928934724533192</v>
      </c>
      <c r="G43" s="552"/>
      <c r="H43" s="552"/>
      <c r="I43" s="585"/>
      <c r="J43" s="552"/>
      <c r="K43" s="552"/>
      <c r="L43" s="552"/>
    </row>
    <row r="44" spans="2:15" x14ac:dyDescent="0.25">
      <c r="E44" s="575">
        <f t="shared" si="5"/>
        <v>75.5</v>
      </c>
      <c r="F44" s="510">
        <f t="shared" si="4"/>
        <v>26.674191150583834</v>
      </c>
      <c r="G44" s="552"/>
      <c r="H44" s="552"/>
      <c r="I44" s="585"/>
      <c r="J44" s="552"/>
      <c r="K44" s="552"/>
      <c r="L44" s="552"/>
    </row>
    <row r="45" spans="2:15" x14ac:dyDescent="0.25">
      <c r="B45" s="502" t="s">
        <v>129</v>
      </c>
      <c r="C45" s="502"/>
      <c r="D45" s="502"/>
      <c r="E45" s="575">
        <f t="shared" si="5"/>
        <v>76</v>
      </c>
      <c r="F45" s="510">
        <f t="shared" si="4"/>
        <v>23.773397886916698</v>
      </c>
      <c r="G45" s="552" t="s">
        <v>135</v>
      </c>
      <c r="H45" s="552"/>
      <c r="I45" s="585"/>
      <c r="J45" s="552"/>
      <c r="K45" s="552"/>
      <c r="L45" s="552"/>
    </row>
    <row r="46" spans="2:15" x14ac:dyDescent="0.25">
      <c r="E46" s="575"/>
      <c r="F46" s="586"/>
      <c r="G46" s="552"/>
      <c r="H46" s="552"/>
      <c r="I46" s="585"/>
      <c r="J46" s="552"/>
      <c r="K46" s="552"/>
      <c r="L46" s="552"/>
    </row>
    <row r="47" spans="2:15" x14ac:dyDescent="0.25">
      <c r="E47" s="575"/>
      <c r="F47" s="586"/>
      <c r="G47" s="552"/>
      <c r="H47" s="552"/>
      <c r="I47" s="585"/>
      <c r="J47" s="552"/>
      <c r="K47" s="552"/>
      <c r="L47" s="552"/>
    </row>
    <row r="48" spans="2:15" x14ac:dyDescent="0.25">
      <c r="E48" s="564"/>
      <c r="F48" s="552"/>
      <c r="G48" s="552"/>
      <c r="H48" s="552"/>
      <c r="I48" s="585"/>
      <c r="J48" s="552"/>
      <c r="K48" s="552"/>
      <c r="L48" s="552"/>
    </row>
    <row r="49" spans="5:12" x14ac:dyDescent="0.25">
      <c r="E49" s="564"/>
      <c r="F49" s="552"/>
      <c r="G49" s="552"/>
      <c r="H49" s="552"/>
      <c r="I49" s="585"/>
      <c r="J49" s="552"/>
      <c r="K49" s="552"/>
      <c r="L49" s="552"/>
    </row>
    <row r="50" spans="5:12" x14ac:dyDescent="0.25">
      <c r="E50" s="564"/>
      <c r="F50" s="552"/>
      <c r="G50" s="552"/>
      <c r="H50" s="552"/>
      <c r="I50" s="585"/>
      <c r="J50" s="552"/>
      <c r="K50" s="552"/>
      <c r="L50" s="552"/>
    </row>
    <row r="51" spans="5:12" x14ac:dyDescent="0.25">
      <c r="E51" s="564"/>
      <c r="F51" s="552"/>
      <c r="G51" s="552"/>
      <c r="H51" s="552"/>
      <c r="I51" s="585"/>
      <c r="J51" s="552"/>
      <c r="K51" s="552"/>
      <c r="L51" s="552"/>
    </row>
    <row r="52" spans="5:12" x14ac:dyDescent="0.25">
      <c r="E52" s="564"/>
      <c r="F52" s="552"/>
      <c r="G52" s="552"/>
      <c r="H52" s="552"/>
      <c r="I52" s="585"/>
      <c r="J52" s="552"/>
      <c r="K52" s="552"/>
      <c r="L52" s="552"/>
    </row>
    <row r="53" spans="5:12" x14ac:dyDescent="0.25">
      <c r="E53" s="564"/>
      <c r="F53" s="552"/>
      <c r="G53" s="552"/>
      <c r="H53" s="552"/>
      <c r="I53" s="585"/>
      <c r="J53" s="552"/>
      <c r="K53" s="552"/>
      <c r="L53" s="552"/>
    </row>
    <row r="54" spans="5:12" x14ac:dyDescent="0.25">
      <c r="E54" s="564"/>
    </row>
    <row r="55" spans="5:12" x14ac:dyDescent="0.25">
      <c r="E55" s="564"/>
    </row>
  </sheetData>
  <phoneticPr fontId="31" type="noConversion"/>
  <printOptions gridLines="1"/>
  <pageMargins left="0.75" right="0.75" top="0.5" bottom="0.5" header="0.5" footer="0.5"/>
  <pageSetup scale="72" orientation="landscape"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28"/>
  <sheetViews>
    <sheetView zoomScaleNormal="100" workbookViewId="0">
      <pane xSplit="2" ySplit="3" topLeftCell="C4" activePane="bottomRight" state="frozen"/>
      <selection pane="topRight" activeCell="B1" sqref="B1"/>
      <selection pane="bottomLeft" activeCell="A4" sqref="A4"/>
      <selection pane="bottomRight" sqref="A1:XFD1048576"/>
    </sheetView>
  </sheetViews>
  <sheetFormatPr defaultColWidth="8.81640625" defaultRowHeight="11.5" x14ac:dyDescent="0.25"/>
  <cols>
    <col min="1" max="1" width="8.81640625" style="494"/>
    <col min="2" max="2" width="61" style="494" customWidth="1"/>
    <col min="3" max="3" width="5.81640625" style="499" customWidth="1"/>
    <col min="4" max="19" width="5.81640625" style="494" customWidth="1"/>
    <col min="20" max="20" width="6.1796875" style="494" customWidth="1"/>
    <col min="21" max="54" width="5.81640625" style="494" customWidth="1"/>
    <col min="55" max="16384" width="8.81640625" style="494"/>
  </cols>
  <sheetData>
    <row r="1" spans="1:57" x14ac:dyDescent="0.25">
      <c r="B1" s="495" t="s">
        <v>225</v>
      </c>
      <c r="C1" s="496"/>
      <c r="D1" s="497"/>
      <c r="E1" s="497"/>
      <c r="F1" s="497"/>
      <c r="G1" s="498"/>
      <c r="H1" s="497"/>
      <c r="I1" s="497"/>
      <c r="J1" s="497"/>
      <c r="K1" s="497"/>
      <c r="L1" s="497"/>
      <c r="M1" s="497"/>
      <c r="N1" s="497"/>
      <c r="O1" s="499" t="s">
        <v>130</v>
      </c>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500"/>
      <c r="BD1" s="500"/>
    </row>
    <row r="2" spans="1:57" ht="12" x14ac:dyDescent="0.3">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501"/>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500"/>
      <c r="BD2" s="500"/>
    </row>
    <row r="3" spans="1:57" x14ac:dyDescent="0.25">
      <c r="B3" s="502"/>
      <c r="C3" s="503">
        <v>1</v>
      </c>
      <c r="D3" s="503">
        <v>2</v>
      </c>
      <c r="E3" s="503">
        <v>3</v>
      </c>
      <c r="F3" s="503">
        <v>4</v>
      </c>
      <c r="G3" s="503">
        <v>5</v>
      </c>
      <c r="H3" s="503">
        <v>6</v>
      </c>
      <c r="I3" s="503">
        <v>7</v>
      </c>
      <c r="J3" s="503">
        <v>8</v>
      </c>
      <c r="K3" s="503">
        <v>9</v>
      </c>
      <c r="L3" s="503">
        <v>10</v>
      </c>
      <c r="M3" s="503">
        <v>11</v>
      </c>
      <c r="N3" s="503">
        <v>12</v>
      </c>
      <c r="O3" s="503">
        <v>13</v>
      </c>
      <c r="P3" s="503">
        <v>14</v>
      </c>
      <c r="Q3" s="503">
        <v>15</v>
      </c>
      <c r="R3" s="503">
        <v>16</v>
      </c>
      <c r="S3" s="503">
        <v>17</v>
      </c>
      <c r="T3" s="503">
        <v>18</v>
      </c>
      <c r="U3" s="503">
        <v>19</v>
      </c>
      <c r="V3" s="503">
        <v>20</v>
      </c>
      <c r="W3" s="503">
        <v>21</v>
      </c>
      <c r="X3" s="503">
        <v>22</v>
      </c>
      <c r="Y3" s="503">
        <v>23</v>
      </c>
      <c r="Z3" s="503">
        <v>24</v>
      </c>
      <c r="AA3" s="503">
        <v>25</v>
      </c>
      <c r="AB3" s="503">
        <v>26</v>
      </c>
      <c r="AC3" s="503">
        <v>27</v>
      </c>
      <c r="AD3" s="503">
        <v>28</v>
      </c>
      <c r="AE3" s="503">
        <v>29</v>
      </c>
      <c r="AF3" s="503">
        <v>30</v>
      </c>
      <c r="AG3" s="503">
        <v>31</v>
      </c>
      <c r="AH3" s="503">
        <v>32</v>
      </c>
      <c r="AI3" s="503">
        <v>33</v>
      </c>
      <c r="AJ3" s="503">
        <v>34</v>
      </c>
      <c r="AK3" s="503">
        <v>35</v>
      </c>
      <c r="AL3" s="503">
        <v>36</v>
      </c>
      <c r="AM3" s="503">
        <v>37</v>
      </c>
      <c r="AN3" s="503">
        <v>38</v>
      </c>
      <c r="AO3" s="503">
        <v>39</v>
      </c>
      <c r="AP3" s="503">
        <v>40</v>
      </c>
      <c r="AQ3" s="503">
        <v>41</v>
      </c>
      <c r="AR3" s="503">
        <v>42</v>
      </c>
      <c r="AS3" s="503">
        <v>43</v>
      </c>
      <c r="AT3" s="503">
        <v>44</v>
      </c>
      <c r="AU3" s="503">
        <v>45</v>
      </c>
      <c r="AV3" s="503">
        <v>46</v>
      </c>
      <c r="AW3" s="503">
        <v>47</v>
      </c>
      <c r="AX3" s="503">
        <v>48</v>
      </c>
      <c r="AY3" s="503">
        <v>49</v>
      </c>
      <c r="AZ3" s="503">
        <v>50</v>
      </c>
      <c r="BA3" s="503">
        <v>51</v>
      </c>
      <c r="BB3" s="503">
        <v>52</v>
      </c>
      <c r="BC3" s="504" t="s">
        <v>65</v>
      </c>
      <c r="BD3" s="504" t="s">
        <v>47</v>
      </c>
      <c r="BE3" s="505" t="s">
        <v>26</v>
      </c>
    </row>
    <row r="4" spans="1:57" ht="12" x14ac:dyDescent="0.3">
      <c r="A4" s="506">
        <v>11</v>
      </c>
      <c r="B4" s="506" t="s">
        <v>168</v>
      </c>
      <c r="C4" s="507">
        <v>38</v>
      </c>
      <c r="D4" s="508">
        <v>40</v>
      </c>
      <c r="E4" s="508">
        <v>50</v>
      </c>
      <c r="F4" s="508">
        <v>47.5</v>
      </c>
      <c r="G4" s="508">
        <v>73</v>
      </c>
      <c r="H4" s="508">
        <v>37.5</v>
      </c>
      <c r="I4" s="508">
        <v>27.5</v>
      </c>
      <c r="J4" s="508">
        <v>29</v>
      </c>
      <c r="K4" s="508">
        <v>44</v>
      </c>
      <c r="L4" s="508">
        <v>39</v>
      </c>
      <c r="M4" s="508">
        <v>42</v>
      </c>
      <c r="N4" s="508">
        <v>17.5</v>
      </c>
      <c r="O4" s="508">
        <v>31</v>
      </c>
      <c r="P4" s="508">
        <v>49</v>
      </c>
      <c r="Q4" s="508">
        <v>36</v>
      </c>
      <c r="R4" s="508">
        <v>55</v>
      </c>
      <c r="S4" s="508">
        <v>48.5</v>
      </c>
      <c r="T4" s="508">
        <v>56</v>
      </c>
      <c r="U4" s="508">
        <v>33</v>
      </c>
      <c r="V4" s="508">
        <v>35.5</v>
      </c>
      <c r="W4" s="508">
        <v>32.5</v>
      </c>
      <c r="X4" s="508">
        <v>45</v>
      </c>
      <c r="Y4" s="508">
        <v>32.5</v>
      </c>
      <c r="Z4" s="508">
        <v>35</v>
      </c>
      <c r="AA4" s="508">
        <v>26.5</v>
      </c>
      <c r="AB4" s="508">
        <v>27.5</v>
      </c>
      <c r="AC4" s="508">
        <v>17.5</v>
      </c>
      <c r="AD4" s="508">
        <v>20</v>
      </c>
      <c r="AE4" s="508">
        <v>17.5</v>
      </c>
      <c r="AF4" s="508">
        <v>14</v>
      </c>
      <c r="AG4" s="509">
        <v>70</v>
      </c>
      <c r="AH4" s="508">
        <v>58</v>
      </c>
      <c r="AI4" s="508">
        <v>51.5</v>
      </c>
      <c r="AJ4" s="508">
        <v>35</v>
      </c>
      <c r="AK4" s="508">
        <v>35.5</v>
      </c>
      <c r="AL4" s="508">
        <v>40</v>
      </c>
      <c r="AM4" s="508">
        <v>35</v>
      </c>
      <c r="AN4" s="508">
        <v>56</v>
      </c>
      <c r="AO4" s="508">
        <v>57.5</v>
      </c>
      <c r="AP4" s="508"/>
      <c r="AQ4" s="508"/>
      <c r="AR4" s="508"/>
      <c r="AS4" s="508"/>
      <c r="AT4" s="508"/>
      <c r="AU4" s="508"/>
      <c r="AV4" s="508"/>
      <c r="AW4" s="508"/>
      <c r="AX4" s="508"/>
      <c r="AY4" s="508"/>
      <c r="AZ4" s="508"/>
      <c r="BA4" s="508"/>
      <c r="BB4" s="508"/>
      <c r="BC4" s="510">
        <f>AVERAGE(C4:BB4)</f>
        <v>39.371794871794869</v>
      </c>
      <c r="BD4" s="511">
        <f>IF(BC4&lt;5,5,BC4)</f>
        <v>39.371794871794869</v>
      </c>
      <c r="BE4" s="512">
        <f t="shared" ref="BE4:BE17" si="0">RANK(BD4,$BD$4:$BD$17)</f>
        <v>13</v>
      </c>
    </row>
    <row r="5" spans="1:57" ht="12" x14ac:dyDescent="0.3">
      <c r="A5" s="506">
        <v>12</v>
      </c>
      <c r="B5" s="506" t="s">
        <v>171</v>
      </c>
      <c r="C5" s="508">
        <v>82</v>
      </c>
      <c r="D5" s="508">
        <v>56</v>
      </c>
      <c r="E5" s="508">
        <v>48.5</v>
      </c>
      <c r="F5" s="508">
        <v>70</v>
      </c>
      <c r="G5" s="508">
        <v>46</v>
      </c>
      <c r="H5" s="508">
        <v>45</v>
      </c>
      <c r="I5" s="509">
        <v>64</v>
      </c>
      <c r="J5" s="508">
        <v>60</v>
      </c>
      <c r="K5" s="508">
        <v>60</v>
      </c>
      <c r="L5" s="508">
        <v>49</v>
      </c>
      <c r="M5" s="508">
        <v>50</v>
      </c>
      <c r="N5" s="508">
        <v>52.5</v>
      </c>
      <c r="O5" s="508">
        <v>70</v>
      </c>
      <c r="P5" s="508">
        <v>85</v>
      </c>
      <c r="Q5" s="508">
        <v>69.5</v>
      </c>
      <c r="R5" s="508">
        <v>80</v>
      </c>
      <c r="S5" s="508">
        <v>71.5</v>
      </c>
      <c r="T5" s="508">
        <v>75</v>
      </c>
      <c r="U5" s="508">
        <v>69</v>
      </c>
      <c r="V5" s="508">
        <v>47.5</v>
      </c>
      <c r="W5" s="508">
        <v>43</v>
      </c>
      <c r="X5" s="508">
        <v>60</v>
      </c>
      <c r="Y5" s="508">
        <v>62</v>
      </c>
      <c r="Z5" s="508">
        <v>71</v>
      </c>
      <c r="AA5" s="513">
        <v>75</v>
      </c>
      <c r="AB5" s="513">
        <v>72.5</v>
      </c>
      <c r="AC5" s="513">
        <v>47.5</v>
      </c>
      <c r="AD5" s="513">
        <v>55</v>
      </c>
      <c r="AE5" s="513">
        <v>57.5</v>
      </c>
      <c r="AF5" s="513">
        <v>69</v>
      </c>
      <c r="AG5" s="513">
        <v>67</v>
      </c>
      <c r="AH5" s="508">
        <v>69</v>
      </c>
      <c r="AI5" s="508">
        <v>52.5</v>
      </c>
      <c r="AJ5" s="508">
        <v>53.5</v>
      </c>
      <c r="AK5" s="508">
        <v>42</v>
      </c>
      <c r="AL5" s="508">
        <v>71.5</v>
      </c>
      <c r="AM5" s="508">
        <v>42.5</v>
      </c>
      <c r="AN5" s="508">
        <v>70</v>
      </c>
      <c r="AO5" s="508">
        <v>50</v>
      </c>
      <c r="AP5" s="508">
        <v>68</v>
      </c>
      <c r="AQ5" s="508">
        <v>75</v>
      </c>
      <c r="AR5" s="508"/>
      <c r="AS5" s="508"/>
      <c r="AT5" s="508"/>
      <c r="AU5" s="508"/>
      <c r="AV5" s="508"/>
      <c r="AW5" s="508"/>
      <c r="AX5" s="508"/>
      <c r="AY5" s="508"/>
      <c r="AZ5" s="508"/>
      <c r="BA5" s="508"/>
      <c r="BB5" s="508"/>
      <c r="BC5" s="510">
        <f>AVERAGE(C5:BB5)</f>
        <v>61.560975609756099</v>
      </c>
      <c r="BD5" s="511">
        <f>IF(BC5&lt;5,5,BC5)</f>
        <v>61.560975609756099</v>
      </c>
      <c r="BE5" s="512">
        <f t="shared" si="0"/>
        <v>5</v>
      </c>
    </row>
    <row r="6" spans="1:57" ht="12" x14ac:dyDescent="0.3">
      <c r="A6" s="506">
        <v>13</v>
      </c>
      <c r="B6" s="506" t="s">
        <v>173</v>
      </c>
      <c r="C6" s="507">
        <v>44</v>
      </c>
      <c r="D6" s="508">
        <v>45</v>
      </c>
      <c r="E6" s="508">
        <v>41</v>
      </c>
      <c r="F6" s="508">
        <v>34</v>
      </c>
      <c r="G6" s="508">
        <v>52.5</v>
      </c>
      <c r="H6" s="508">
        <v>70</v>
      </c>
      <c r="I6" s="508">
        <v>45</v>
      </c>
      <c r="J6" s="508">
        <v>36</v>
      </c>
      <c r="K6" s="508">
        <v>56</v>
      </c>
      <c r="L6" s="508">
        <v>38.5</v>
      </c>
      <c r="M6" s="508">
        <v>22.5</v>
      </c>
      <c r="N6" s="508">
        <v>17.5</v>
      </c>
      <c r="O6" s="508">
        <v>25</v>
      </c>
      <c r="P6" s="508">
        <v>27.5</v>
      </c>
      <c r="Q6" s="508">
        <v>20</v>
      </c>
      <c r="R6" s="508">
        <v>22.5</v>
      </c>
      <c r="S6" s="508">
        <v>25</v>
      </c>
      <c r="T6" s="508">
        <v>28</v>
      </c>
      <c r="U6" s="508">
        <v>52</v>
      </c>
      <c r="V6" s="508">
        <v>42.5</v>
      </c>
      <c r="W6" s="508">
        <v>44</v>
      </c>
      <c r="X6" s="508">
        <v>42.5</v>
      </c>
      <c r="Y6" s="508">
        <v>25</v>
      </c>
      <c r="Z6" s="508">
        <v>46</v>
      </c>
      <c r="AA6" s="508">
        <v>46</v>
      </c>
      <c r="AB6" s="508">
        <v>69</v>
      </c>
      <c r="AC6" s="508">
        <v>40</v>
      </c>
      <c r="AD6" s="508">
        <v>27.5</v>
      </c>
      <c r="AE6" s="508">
        <v>17.5</v>
      </c>
      <c r="AF6" s="508">
        <v>24</v>
      </c>
      <c r="AG6" s="508">
        <v>48</v>
      </c>
      <c r="AH6" s="508">
        <v>68</v>
      </c>
      <c r="AI6" s="508">
        <v>30</v>
      </c>
      <c r="AJ6" s="508">
        <v>33</v>
      </c>
      <c r="AK6" s="508">
        <v>30</v>
      </c>
      <c r="AL6" s="508">
        <v>33</v>
      </c>
      <c r="AM6" s="508">
        <v>40</v>
      </c>
      <c r="AN6" s="508">
        <v>20</v>
      </c>
      <c r="AO6" s="508">
        <v>42.5</v>
      </c>
      <c r="AP6" s="508">
        <v>47</v>
      </c>
      <c r="AQ6" s="508">
        <v>34</v>
      </c>
      <c r="AR6" s="508"/>
      <c r="AS6" s="508"/>
      <c r="AT6" s="508"/>
      <c r="AU6" s="508"/>
      <c r="AV6" s="508"/>
      <c r="AW6" s="508"/>
      <c r="AX6" s="508"/>
      <c r="AY6" s="508"/>
      <c r="AZ6" s="508"/>
      <c r="BA6" s="508"/>
      <c r="BB6" s="508"/>
      <c r="BC6" s="510">
        <f t="shared" ref="BC6:BC16" si="1">AVERAGE(C6:BB6)</f>
        <v>37.841463414634148</v>
      </c>
      <c r="BD6" s="511">
        <f t="shared" ref="BD6:BD16" si="2">IF(BC6&lt;5,5,BC6)</f>
        <v>37.841463414634148</v>
      </c>
      <c r="BE6" s="512">
        <f t="shared" si="0"/>
        <v>14</v>
      </c>
    </row>
    <row r="7" spans="1:57" ht="12" x14ac:dyDescent="0.3">
      <c r="A7" s="514">
        <v>14</v>
      </c>
      <c r="B7" s="506" t="s">
        <v>198</v>
      </c>
      <c r="C7" s="508">
        <v>64</v>
      </c>
      <c r="D7" s="508">
        <v>77</v>
      </c>
      <c r="E7" s="508">
        <v>58</v>
      </c>
      <c r="F7" s="508">
        <v>93</v>
      </c>
      <c r="G7" s="508">
        <v>94</v>
      </c>
      <c r="H7" s="508">
        <v>80</v>
      </c>
      <c r="I7" s="508">
        <v>97.5</v>
      </c>
      <c r="J7" s="508">
        <v>66</v>
      </c>
      <c r="K7" s="508">
        <v>67.5</v>
      </c>
      <c r="L7" s="508">
        <v>62.5</v>
      </c>
      <c r="M7" s="508">
        <v>65</v>
      </c>
      <c r="N7" s="508">
        <v>60</v>
      </c>
      <c r="O7" s="508">
        <v>62.5</v>
      </c>
      <c r="P7" s="508">
        <v>78</v>
      </c>
      <c r="Q7" s="508">
        <v>85</v>
      </c>
      <c r="R7" s="508">
        <v>90</v>
      </c>
      <c r="S7" s="509">
        <v>77.5</v>
      </c>
      <c r="T7" s="508">
        <v>75</v>
      </c>
      <c r="U7" s="508">
        <v>83</v>
      </c>
      <c r="V7" s="508">
        <v>60</v>
      </c>
      <c r="W7" s="508">
        <v>47</v>
      </c>
      <c r="X7" s="508">
        <v>54</v>
      </c>
      <c r="Y7" s="508">
        <v>80</v>
      </c>
      <c r="Z7" s="508">
        <v>76</v>
      </c>
      <c r="AA7" s="508">
        <v>62.5</v>
      </c>
      <c r="AB7" s="508">
        <v>81</v>
      </c>
      <c r="AC7" s="508">
        <v>65.5</v>
      </c>
      <c r="AD7" s="508">
        <v>70</v>
      </c>
      <c r="AE7" s="508">
        <v>60</v>
      </c>
      <c r="AF7" s="508">
        <v>62.5</v>
      </c>
      <c r="AG7" s="508">
        <v>67.5</v>
      </c>
      <c r="AH7" s="508">
        <v>86.5</v>
      </c>
      <c r="AI7" s="506">
        <v>60</v>
      </c>
      <c r="AJ7" s="506">
        <v>50</v>
      </c>
      <c r="AK7" s="506">
        <v>82.5</v>
      </c>
      <c r="AL7" s="506">
        <v>78</v>
      </c>
      <c r="AM7" s="506">
        <v>87.5</v>
      </c>
      <c r="AN7" s="506">
        <v>81</v>
      </c>
      <c r="AO7" s="506">
        <v>80</v>
      </c>
      <c r="AP7" s="506">
        <v>60</v>
      </c>
      <c r="AQ7" s="506"/>
      <c r="AR7" s="506"/>
      <c r="AS7" s="506"/>
      <c r="AT7" s="506"/>
      <c r="AU7" s="506"/>
      <c r="AV7" s="506"/>
      <c r="AW7" s="508"/>
      <c r="AX7" s="508"/>
      <c r="AY7" s="508"/>
      <c r="AZ7" s="508"/>
      <c r="BA7" s="508"/>
      <c r="BB7" s="508"/>
      <c r="BC7" s="510">
        <f>AVERAGE(C7:BB7)</f>
        <v>72.174999999999997</v>
      </c>
      <c r="BD7" s="511">
        <f t="shared" si="2"/>
        <v>72.174999999999997</v>
      </c>
      <c r="BE7" s="512">
        <f t="shared" si="0"/>
        <v>1</v>
      </c>
    </row>
    <row r="8" spans="1:57" ht="12" x14ac:dyDescent="0.3">
      <c r="A8" s="506">
        <v>15</v>
      </c>
      <c r="B8" s="506" t="s">
        <v>164</v>
      </c>
      <c r="C8" s="508">
        <v>81</v>
      </c>
      <c r="D8" s="508">
        <v>62.5</v>
      </c>
      <c r="E8" s="508">
        <v>67.5</v>
      </c>
      <c r="F8" s="508">
        <v>72.5</v>
      </c>
      <c r="G8" s="508">
        <v>64</v>
      </c>
      <c r="H8" s="508">
        <v>70</v>
      </c>
      <c r="I8" s="508">
        <v>39</v>
      </c>
      <c r="J8" s="508">
        <v>48</v>
      </c>
      <c r="K8" s="508">
        <v>53</v>
      </c>
      <c r="L8" s="508">
        <v>44</v>
      </c>
      <c r="M8" s="508">
        <v>81</v>
      </c>
      <c r="N8" s="508">
        <v>78</v>
      </c>
      <c r="O8" s="508">
        <v>52</v>
      </c>
      <c r="P8" s="508">
        <v>40</v>
      </c>
      <c r="Q8" s="508">
        <v>72</v>
      </c>
      <c r="R8" s="508">
        <v>35</v>
      </c>
      <c r="S8" s="508">
        <v>44</v>
      </c>
      <c r="T8" s="508">
        <v>42</v>
      </c>
      <c r="U8" s="508">
        <v>47.5</v>
      </c>
      <c r="V8" s="508">
        <v>35</v>
      </c>
      <c r="W8" s="508">
        <v>32.5</v>
      </c>
      <c r="X8" s="508">
        <v>40</v>
      </c>
      <c r="Y8" s="508">
        <v>62.5</v>
      </c>
      <c r="Z8" s="508">
        <v>62.5</v>
      </c>
      <c r="AA8" s="508">
        <v>42.5</v>
      </c>
      <c r="AB8" s="508">
        <v>42.5</v>
      </c>
      <c r="AC8" s="508">
        <v>52.5</v>
      </c>
      <c r="AD8" s="508">
        <v>84</v>
      </c>
      <c r="AE8" s="508">
        <v>78.5</v>
      </c>
      <c r="AF8" s="508">
        <v>77.5</v>
      </c>
      <c r="AG8" s="508">
        <v>56.5</v>
      </c>
      <c r="AH8" s="508">
        <v>59.5</v>
      </c>
      <c r="AI8" s="508">
        <v>48</v>
      </c>
      <c r="AJ8" s="506">
        <v>47.5</v>
      </c>
      <c r="AK8" s="506">
        <v>80</v>
      </c>
      <c r="AL8" s="506">
        <v>60</v>
      </c>
      <c r="AM8" s="506">
        <v>66</v>
      </c>
      <c r="AN8" s="506">
        <v>72</v>
      </c>
      <c r="AO8" s="506"/>
      <c r="AP8" s="506"/>
      <c r="AQ8" s="506"/>
      <c r="AR8" s="506"/>
      <c r="AS8" s="506"/>
      <c r="AT8" s="506"/>
      <c r="AU8" s="506"/>
      <c r="AV8" s="506"/>
      <c r="AW8" s="506"/>
      <c r="AX8" s="506"/>
      <c r="AY8" s="508"/>
      <c r="AZ8" s="508"/>
      <c r="BA8" s="508"/>
      <c r="BB8" s="508"/>
      <c r="BC8" s="510">
        <f>AVERAGE(C8:BB8)</f>
        <v>57.69736842105263</v>
      </c>
      <c r="BD8" s="511">
        <f t="shared" si="2"/>
        <v>57.69736842105263</v>
      </c>
      <c r="BE8" s="512">
        <f t="shared" si="0"/>
        <v>8</v>
      </c>
    </row>
    <row r="9" spans="1:57" s="497" customFormat="1" ht="12" x14ac:dyDescent="0.3">
      <c r="A9" s="506">
        <v>16</v>
      </c>
      <c r="B9" s="506" t="s">
        <v>208</v>
      </c>
      <c r="C9" s="508">
        <v>43</v>
      </c>
      <c r="D9" s="508">
        <v>32.5</v>
      </c>
      <c r="E9" s="508">
        <v>45</v>
      </c>
      <c r="F9" s="508">
        <v>42.5</v>
      </c>
      <c r="G9" s="508">
        <v>70</v>
      </c>
      <c r="H9" s="508">
        <v>55</v>
      </c>
      <c r="I9" s="508">
        <v>39</v>
      </c>
      <c r="J9" s="508">
        <v>41</v>
      </c>
      <c r="K9" s="508">
        <v>46.5</v>
      </c>
      <c r="L9" s="508">
        <v>57</v>
      </c>
      <c r="M9" s="508">
        <v>31.5</v>
      </c>
      <c r="N9" s="508">
        <v>66</v>
      </c>
      <c r="O9" s="508">
        <v>22.5</v>
      </c>
      <c r="P9" s="508">
        <v>40</v>
      </c>
      <c r="Q9" s="508">
        <v>20</v>
      </c>
      <c r="R9" s="508">
        <v>17.5</v>
      </c>
      <c r="S9" s="508">
        <v>35</v>
      </c>
      <c r="T9" s="508">
        <v>37.5</v>
      </c>
      <c r="U9" s="508">
        <v>36</v>
      </c>
      <c r="V9" s="508">
        <v>30</v>
      </c>
      <c r="W9" s="508">
        <v>41</v>
      </c>
      <c r="X9" s="508">
        <v>40</v>
      </c>
      <c r="Y9" s="508">
        <v>70</v>
      </c>
      <c r="Z9" s="508">
        <v>37.5</v>
      </c>
      <c r="AA9" s="508">
        <v>25</v>
      </c>
      <c r="AB9" s="508">
        <v>30</v>
      </c>
      <c r="AC9" s="508">
        <v>35</v>
      </c>
      <c r="AD9" s="508">
        <v>68</v>
      </c>
      <c r="AE9" s="508">
        <v>60</v>
      </c>
      <c r="AF9" s="508">
        <v>40</v>
      </c>
      <c r="AG9" s="508">
        <v>44.5</v>
      </c>
      <c r="AH9" s="508">
        <v>50.5</v>
      </c>
      <c r="AI9" s="508">
        <v>52.5</v>
      </c>
      <c r="AJ9" s="508">
        <v>45</v>
      </c>
      <c r="AK9" s="508">
        <v>22.5</v>
      </c>
      <c r="AL9" s="508">
        <v>77</v>
      </c>
      <c r="AM9" s="508">
        <v>38</v>
      </c>
      <c r="AN9" s="508">
        <v>63</v>
      </c>
      <c r="AO9" s="508">
        <v>21</v>
      </c>
      <c r="AP9" s="508"/>
      <c r="AQ9" s="508"/>
      <c r="AR9" s="508"/>
      <c r="AS9" s="508"/>
      <c r="AT9" s="508"/>
      <c r="AU9" s="508"/>
      <c r="AV9" s="508"/>
      <c r="AW9" s="508"/>
      <c r="AX9" s="508"/>
      <c r="AY9" s="508"/>
      <c r="AZ9" s="508"/>
      <c r="BA9" s="508"/>
      <c r="BB9" s="508"/>
      <c r="BC9" s="510">
        <f t="shared" si="1"/>
        <v>42.769230769230766</v>
      </c>
      <c r="BD9" s="511">
        <f t="shared" si="2"/>
        <v>42.769230769230766</v>
      </c>
      <c r="BE9" s="512">
        <f t="shared" si="0"/>
        <v>11</v>
      </c>
    </row>
    <row r="10" spans="1:57" ht="18.75" customHeight="1" x14ac:dyDescent="0.3">
      <c r="A10" s="506">
        <v>17</v>
      </c>
      <c r="B10" s="506" t="s">
        <v>167</v>
      </c>
      <c r="C10" s="508">
        <v>58</v>
      </c>
      <c r="D10" s="508">
        <v>77</v>
      </c>
      <c r="E10" s="508">
        <v>67.5</v>
      </c>
      <c r="F10" s="508">
        <v>59</v>
      </c>
      <c r="G10" s="508">
        <v>57.5</v>
      </c>
      <c r="H10" s="508">
        <v>95</v>
      </c>
      <c r="I10" s="508">
        <v>85</v>
      </c>
      <c r="J10" s="508">
        <v>67.5</v>
      </c>
      <c r="K10" s="508">
        <v>67.5</v>
      </c>
      <c r="L10" s="508">
        <v>75</v>
      </c>
      <c r="M10" s="508">
        <v>90</v>
      </c>
      <c r="N10" s="508">
        <v>67.5</v>
      </c>
      <c r="O10" s="508">
        <v>67.5</v>
      </c>
      <c r="P10" s="508">
        <v>50</v>
      </c>
      <c r="Q10" s="508">
        <v>75</v>
      </c>
      <c r="R10" s="508">
        <v>71</v>
      </c>
      <c r="S10" s="508">
        <v>92.5</v>
      </c>
      <c r="T10" s="508">
        <v>59.5</v>
      </c>
      <c r="U10" s="508">
        <v>90</v>
      </c>
      <c r="V10" s="508">
        <v>88</v>
      </c>
      <c r="W10" s="508">
        <v>93</v>
      </c>
      <c r="X10" s="508">
        <v>92.5</v>
      </c>
      <c r="Y10" s="508">
        <v>71</v>
      </c>
      <c r="Z10" s="508">
        <v>77.5</v>
      </c>
      <c r="AA10" s="508">
        <v>60</v>
      </c>
      <c r="AB10" s="508">
        <v>75</v>
      </c>
      <c r="AC10" s="508">
        <v>80</v>
      </c>
      <c r="AD10" s="508">
        <v>77</v>
      </c>
      <c r="AE10" s="508">
        <v>60</v>
      </c>
      <c r="AF10" s="508">
        <v>62.5</v>
      </c>
      <c r="AG10" s="508">
        <v>62.5</v>
      </c>
      <c r="AH10" s="508">
        <v>55</v>
      </c>
      <c r="AI10" s="508">
        <v>77.5</v>
      </c>
      <c r="AJ10" s="508">
        <v>54</v>
      </c>
      <c r="AK10" s="508">
        <v>65</v>
      </c>
      <c r="AL10" s="508"/>
      <c r="AM10" s="508"/>
      <c r="AN10" s="508"/>
      <c r="AO10" s="508"/>
      <c r="AP10" s="508"/>
      <c r="AQ10" s="508"/>
      <c r="AR10" s="508"/>
      <c r="AS10" s="508"/>
      <c r="AT10" s="508"/>
      <c r="AU10" s="508"/>
      <c r="AV10" s="508"/>
      <c r="AW10" s="508"/>
      <c r="AX10" s="508"/>
      <c r="AY10" s="508"/>
      <c r="AZ10" s="508"/>
      <c r="BA10" s="508"/>
      <c r="BB10" s="508"/>
      <c r="BC10" s="510">
        <f t="shared" si="1"/>
        <v>72.071428571428569</v>
      </c>
      <c r="BD10" s="511">
        <f t="shared" si="2"/>
        <v>72.071428571428569</v>
      </c>
      <c r="BE10" s="512">
        <f t="shared" si="0"/>
        <v>2</v>
      </c>
    </row>
    <row r="11" spans="1:57" ht="12" x14ac:dyDescent="0.3">
      <c r="A11" s="506">
        <v>18</v>
      </c>
      <c r="B11" s="506" t="s">
        <v>209</v>
      </c>
      <c r="C11" s="508">
        <v>64.5</v>
      </c>
      <c r="D11" s="508">
        <v>60</v>
      </c>
      <c r="E11" s="508">
        <v>86</v>
      </c>
      <c r="F11" s="508">
        <v>45</v>
      </c>
      <c r="G11" s="508">
        <v>70</v>
      </c>
      <c r="H11" s="508">
        <v>72</v>
      </c>
      <c r="I11" s="508">
        <v>70</v>
      </c>
      <c r="J11" s="508">
        <v>70</v>
      </c>
      <c r="K11" s="508">
        <v>60</v>
      </c>
      <c r="L11" s="508">
        <v>50</v>
      </c>
      <c r="M11" s="508">
        <v>70</v>
      </c>
      <c r="N11" s="508">
        <v>53</v>
      </c>
      <c r="O11" s="508">
        <v>55</v>
      </c>
      <c r="P11" s="508">
        <v>69</v>
      </c>
      <c r="Q11" s="508">
        <v>65</v>
      </c>
      <c r="R11" s="508">
        <v>67</v>
      </c>
      <c r="S11" s="508">
        <v>68</v>
      </c>
      <c r="T11" s="508">
        <v>68</v>
      </c>
      <c r="U11" s="508">
        <v>60</v>
      </c>
      <c r="V11" s="508">
        <v>47.5</v>
      </c>
      <c r="W11" s="508">
        <v>90</v>
      </c>
      <c r="X11" s="508">
        <v>70</v>
      </c>
      <c r="Y11" s="508">
        <v>68</v>
      </c>
      <c r="Z11" s="508">
        <v>57.5</v>
      </c>
      <c r="AA11" s="508">
        <v>32</v>
      </c>
      <c r="AB11" s="508">
        <v>55</v>
      </c>
      <c r="AC11" s="508">
        <v>40</v>
      </c>
      <c r="AD11" s="508">
        <v>50</v>
      </c>
      <c r="AE11" s="508">
        <v>70</v>
      </c>
      <c r="AF11" s="508">
        <v>54.5</v>
      </c>
      <c r="AG11" s="508">
        <v>37</v>
      </c>
      <c r="AH11" s="508">
        <v>40</v>
      </c>
      <c r="AI11" s="508"/>
      <c r="AJ11" s="508"/>
      <c r="AK11" s="508"/>
      <c r="AL11" s="508"/>
      <c r="AM11" s="508"/>
      <c r="AN11" s="508"/>
      <c r="AO11" s="508"/>
      <c r="AP11" s="508"/>
      <c r="AQ11" s="508"/>
      <c r="AR11" s="508"/>
      <c r="AS11" s="508"/>
      <c r="AT11" s="508"/>
      <c r="AU11" s="508"/>
      <c r="AV11" s="508"/>
      <c r="AW11" s="508"/>
      <c r="AX11" s="508"/>
      <c r="AY11" s="508"/>
      <c r="AZ11" s="508"/>
      <c r="BA11" s="508"/>
      <c r="BB11" s="508"/>
      <c r="BC11" s="510">
        <f t="shared" si="1"/>
        <v>60.4375</v>
      </c>
      <c r="BD11" s="511">
        <f t="shared" si="2"/>
        <v>60.4375</v>
      </c>
      <c r="BE11" s="512">
        <f t="shared" si="0"/>
        <v>6</v>
      </c>
    </row>
    <row r="12" spans="1:57" s="497" customFormat="1" ht="12" x14ac:dyDescent="0.3">
      <c r="A12" s="514">
        <v>19</v>
      </c>
      <c r="B12" s="506" t="s">
        <v>170</v>
      </c>
      <c r="C12" s="508">
        <v>40</v>
      </c>
      <c r="D12" s="508">
        <v>59.5</v>
      </c>
      <c r="E12" s="508">
        <v>60</v>
      </c>
      <c r="F12" s="508">
        <v>90</v>
      </c>
      <c r="G12" s="508">
        <v>40</v>
      </c>
      <c r="H12" s="508">
        <v>55</v>
      </c>
      <c r="I12" s="508">
        <v>74.5</v>
      </c>
      <c r="J12" s="508">
        <v>87</v>
      </c>
      <c r="K12" s="508">
        <v>57.5</v>
      </c>
      <c r="L12" s="508">
        <v>47.5</v>
      </c>
      <c r="M12" s="508">
        <v>40</v>
      </c>
      <c r="N12" s="508">
        <v>80</v>
      </c>
      <c r="O12" s="508">
        <v>54.5</v>
      </c>
      <c r="P12" s="508">
        <v>80</v>
      </c>
      <c r="Q12" s="508">
        <v>67.5</v>
      </c>
      <c r="R12" s="508">
        <v>40</v>
      </c>
      <c r="S12" s="508">
        <v>67.5</v>
      </c>
      <c r="T12" s="508">
        <v>75</v>
      </c>
      <c r="U12" s="508">
        <v>71</v>
      </c>
      <c r="V12" s="508">
        <v>49</v>
      </c>
      <c r="W12" s="508">
        <v>72</v>
      </c>
      <c r="X12" s="508">
        <v>52.5</v>
      </c>
      <c r="Y12" s="508">
        <v>47.506999999999998</v>
      </c>
      <c r="Z12" s="508">
        <v>70</v>
      </c>
      <c r="AA12" s="508">
        <v>67.5</v>
      </c>
      <c r="AB12" s="508">
        <v>77</v>
      </c>
      <c r="AC12" s="508">
        <v>55</v>
      </c>
      <c r="AD12" s="508">
        <v>35</v>
      </c>
      <c r="AE12" s="508">
        <v>32.5</v>
      </c>
      <c r="AF12" s="508">
        <v>40</v>
      </c>
      <c r="AG12" s="508">
        <v>62.5</v>
      </c>
      <c r="AH12" s="508">
        <v>55</v>
      </c>
      <c r="AI12" s="508">
        <v>37</v>
      </c>
      <c r="AJ12" s="508">
        <v>52.5</v>
      </c>
      <c r="AK12" s="508"/>
      <c r="AL12" s="508"/>
      <c r="AM12" s="508"/>
      <c r="AN12" s="508"/>
      <c r="AO12" s="508"/>
      <c r="AP12" s="508"/>
      <c r="AQ12" s="508"/>
      <c r="AR12" s="508"/>
      <c r="AS12" s="508"/>
      <c r="AT12" s="508"/>
      <c r="AU12" s="508"/>
      <c r="AV12" s="508"/>
      <c r="AW12" s="508"/>
      <c r="AX12" s="508"/>
      <c r="AY12" s="508"/>
      <c r="AZ12" s="508"/>
      <c r="BA12" s="508"/>
      <c r="BB12" s="508"/>
      <c r="BC12" s="510">
        <f t="shared" si="1"/>
        <v>58.573735294117647</v>
      </c>
      <c r="BD12" s="511">
        <f t="shared" si="2"/>
        <v>58.573735294117647</v>
      </c>
      <c r="BE12" s="512">
        <f t="shared" si="0"/>
        <v>7</v>
      </c>
    </row>
    <row r="13" spans="1:57" ht="12" x14ac:dyDescent="0.3">
      <c r="A13" s="506">
        <v>20</v>
      </c>
      <c r="B13" s="506" t="s">
        <v>166</v>
      </c>
      <c r="C13" s="513">
        <v>40</v>
      </c>
      <c r="D13" s="513">
        <v>35</v>
      </c>
      <c r="E13" s="513">
        <v>70</v>
      </c>
      <c r="F13" s="513">
        <v>92.5</v>
      </c>
      <c r="G13" s="513">
        <v>76</v>
      </c>
      <c r="H13" s="508">
        <v>52.5</v>
      </c>
      <c r="I13" s="513">
        <v>67.5</v>
      </c>
      <c r="J13" s="513">
        <v>83.5</v>
      </c>
      <c r="K13" s="513">
        <v>84</v>
      </c>
      <c r="L13" s="513">
        <v>57.5</v>
      </c>
      <c r="M13" s="513">
        <v>60</v>
      </c>
      <c r="N13" s="513">
        <v>57.5</v>
      </c>
      <c r="O13" s="513">
        <v>69</v>
      </c>
      <c r="P13" s="513">
        <v>63</v>
      </c>
      <c r="Q13" s="513">
        <v>72.5</v>
      </c>
      <c r="R13" s="513">
        <v>81</v>
      </c>
      <c r="S13" s="513">
        <v>55</v>
      </c>
      <c r="T13" s="513">
        <v>90</v>
      </c>
      <c r="U13" s="513">
        <v>85</v>
      </c>
      <c r="V13" s="513">
        <v>88</v>
      </c>
      <c r="W13" s="513">
        <v>68</v>
      </c>
      <c r="X13" s="513">
        <v>77.5</v>
      </c>
      <c r="Y13" s="513">
        <v>83.5</v>
      </c>
      <c r="Z13" s="513">
        <v>85</v>
      </c>
      <c r="AA13" s="513">
        <v>74</v>
      </c>
      <c r="AB13" s="513">
        <v>77.5</v>
      </c>
      <c r="AC13" s="513">
        <v>42</v>
      </c>
      <c r="AD13" s="513">
        <v>55</v>
      </c>
      <c r="AE13" s="513">
        <v>60</v>
      </c>
      <c r="AF13" s="513">
        <v>44</v>
      </c>
      <c r="AG13" s="513">
        <v>75</v>
      </c>
      <c r="AH13" s="513">
        <v>46</v>
      </c>
      <c r="AI13" s="513">
        <v>57.5</v>
      </c>
      <c r="AP13" s="508"/>
      <c r="AQ13" s="508"/>
      <c r="AR13" s="508"/>
      <c r="AS13" s="508"/>
      <c r="AT13" s="508"/>
      <c r="AU13" s="508"/>
      <c r="AV13" s="508"/>
      <c r="AW13" s="508"/>
      <c r="AX13" s="508"/>
      <c r="AY13" s="508"/>
      <c r="AZ13" s="508"/>
      <c r="BA13" s="508"/>
      <c r="BB13" s="508"/>
      <c r="BC13" s="510">
        <f t="shared" si="1"/>
        <v>67.409090909090907</v>
      </c>
      <c r="BD13" s="511">
        <f t="shared" si="2"/>
        <v>67.409090909090907</v>
      </c>
      <c r="BE13" s="512">
        <f t="shared" si="0"/>
        <v>3</v>
      </c>
    </row>
    <row r="14" spans="1:57" ht="12" x14ac:dyDescent="0.3">
      <c r="A14" s="514">
        <v>21</v>
      </c>
      <c r="B14" s="506" t="s">
        <v>165</v>
      </c>
      <c r="C14" s="508">
        <v>46</v>
      </c>
      <c r="D14" s="508">
        <v>85</v>
      </c>
      <c r="E14" s="508">
        <v>52</v>
      </c>
      <c r="F14" s="508">
        <v>45</v>
      </c>
      <c r="G14" s="508">
        <v>60</v>
      </c>
      <c r="H14" s="508">
        <v>47.5</v>
      </c>
      <c r="I14" s="508">
        <v>65.5</v>
      </c>
      <c r="J14" s="508">
        <v>95</v>
      </c>
      <c r="K14" s="508">
        <v>80</v>
      </c>
      <c r="L14" s="508">
        <v>50</v>
      </c>
      <c r="M14" s="508">
        <v>60</v>
      </c>
      <c r="N14" s="508">
        <v>60</v>
      </c>
      <c r="O14" s="508">
        <v>76</v>
      </c>
      <c r="P14" s="508">
        <v>37.5</v>
      </c>
      <c r="Q14" s="508">
        <v>65</v>
      </c>
      <c r="R14" s="508">
        <v>40</v>
      </c>
      <c r="S14" s="508">
        <v>67</v>
      </c>
      <c r="T14" s="508">
        <v>64</v>
      </c>
      <c r="U14" s="508">
        <v>79</v>
      </c>
      <c r="V14" s="508">
        <v>71</v>
      </c>
      <c r="W14" s="508">
        <v>52.5</v>
      </c>
      <c r="X14" s="508">
        <v>67.5</v>
      </c>
      <c r="Y14" s="508">
        <v>68</v>
      </c>
      <c r="Z14" s="508">
        <v>69</v>
      </c>
      <c r="AA14" s="508">
        <v>69</v>
      </c>
      <c r="AB14" s="508">
        <v>64</v>
      </c>
      <c r="AC14" s="508">
        <v>60</v>
      </c>
      <c r="AD14" s="508">
        <v>62.5</v>
      </c>
      <c r="AE14" s="508">
        <v>81.5</v>
      </c>
      <c r="AF14" s="508">
        <v>70</v>
      </c>
      <c r="AG14" s="508">
        <v>73</v>
      </c>
      <c r="AH14" s="508">
        <v>77.5</v>
      </c>
      <c r="AI14" s="508">
        <v>48</v>
      </c>
      <c r="AJ14" s="508">
        <v>67</v>
      </c>
      <c r="AK14" s="508">
        <v>37.5</v>
      </c>
      <c r="AL14" s="508">
        <v>67.5</v>
      </c>
      <c r="AM14" s="508"/>
      <c r="AN14" s="508"/>
      <c r="AO14" s="508"/>
      <c r="AP14" s="508"/>
      <c r="AQ14" s="508"/>
      <c r="AR14" s="508"/>
      <c r="AS14" s="508"/>
      <c r="AT14" s="508"/>
      <c r="AU14" s="508"/>
      <c r="AV14" s="508"/>
      <c r="AW14" s="508"/>
      <c r="AX14" s="508"/>
      <c r="AY14" s="508"/>
      <c r="AZ14" s="508"/>
      <c r="BA14" s="508"/>
      <c r="BB14" s="508"/>
      <c r="BC14" s="510">
        <f>AVERAGE(C14:BB14)</f>
        <v>63.333333333333336</v>
      </c>
      <c r="BD14" s="511">
        <f t="shared" si="2"/>
        <v>63.333333333333336</v>
      </c>
      <c r="BE14" s="512">
        <f t="shared" si="0"/>
        <v>4</v>
      </c>
    </row>
    <row r="15" spans="1:57" ht="12" x14ac:dyDescent="0.3">
      <c r="A15" s="514">
        <v>22</v>
      </c>
      <c r="B15" s="506" t="s">
        <v>172</v>
      </c>
      <c r="C15" s="508">
        <v>40</v>
      </c>
      <c r="D15" s="508">
        <v>57.5</v>
      </c>
      <c r="E15" s="508">
        <v>33</v>
      </c>
      <c r="F15" s="508">
        <v>35</v>
      </c>
      <c r="G15" s="508">
        <v>50</v>
      </c>
      <c r="H15" s="508">
        <v>35</v>
      </c>
      <c r="I15" s="508">
        <v>40</v>
      </c>
      <c r="J15" s="508">
        <v>52</v>
      </c>
      <c r="K15" s="508">
        <v>51</v>
      </c>
      <c r="L15" s="508">
        <v>52.5</v>
      </c>
      <c r="M15" s="508">
        <v>33</v>
      </c>
      <c r="N15" s="508">
        <v>35</v>
      </c>
      <c r="O15" s="508">
        <v>55</v>
      </c>
      <c r="P15" s="508">
        <v>66</v>
      </c>
      <c r="Q15" s="508">
        <v>75</v>
      </c>
      <c r="R15" s="508">
        <v>40</v>
      </c>
      <c r="S15" s="508">
        <v>71</v>
      </c>
      <c r="T15" s="508">
        <v>57.5</v>
      </c>
      <c r="U15" s="508">
        <v>39</v>
      </c>
      <c r="V15" s="508">
        <v>32.5</v>
      </c>
      <c r="W15" s="508">
        <v>52.5</v>
      </c>
      <c r="X15" s="508">
        <v>35</v>
      </c>
      <c r="Y15" s="508">
        <v>67.5</v>
      </c>
      <c r="Z15" s="508">
        <v>42</v>
      </c>
      <c r="AA15" s="508">
        <v>40</v>
      </c>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10">
        <f t="shared" si="1"/>
        <v>47.48</v>
      </c>
      <c r="BD15" s="511">
        <f t="shared" si="2"/>
        <v>47.48</v>
      </c>
      <c r="BE15" s="512">
        <f t="shared" si="0"/>
        <v>10</v>
      </c>
    </row>
    <row r="16" spans="1:57" ht="12" x14ac:dyDescent="0.3">
      <c r="A16" s="506">
        <v>23</v>
      </c>
      <c r="B16" s="506" t="s">
        <v>210</v>
      </c>
      <c r="C16" s="515">
        <v>54</v>
      </c>
      <c r="D16" s="515">
        <v>55</v>
      </c>
      <c r="E16" s="515">
        <v>42</v>
      </c>
      <c r="F16" s="515">
        <v>60</v>
      </c>
      <c r="G16" s="515">
        <v>39</v>
      </c>
      <c r="H16" s="508">
        <v>65</v>
      </c>
      <c r="I16" s="515">
        <v>30</v>
      </c>
      <c r="J16" s="515">
        <v>44.5</v>
      </c>
      <c r="K16" s="515">
        <v>36</v>
      </c>
      <c r="L16" s="515">
        <v>57.5</v>
      </c>
      <c r="M16" s="515">
        <v>56</v>
      </c>
      <c r="N16" s="515">
        <v>48</v>
      </c>
      <c r="O16" s="515">
        <v>66</v>
      </c>
      <c r="P16" s="515">
        <v>37.5</v>
      </c>
      <c r="Q16" s="515">
        <v>47.5</v>
      </c>
      <c r="R16" s="515">
        <v>63</v>
      </c>
      <c r="S16" s="515">
        <v>54</v>
      </c>
      <c r="T16" s="515">
        <v>49</v>
      </c>
      <c r="U16" s="515">
        <v>55</v>
      </c>
      <c r="V16" s="515">
        <v>43.5</v>
      </c>
      <c r="W16" s="515">
        <v>45</v>
      </c>
      <c r="X16" s="515">
        <v>67</v>
      </c>
      <c r="Y16" s="515">
        <v>50</v>
      </c>
      <c r="Z16" s="515">
        <v>40</v>
      </c>
      <c r="AA16" s="515">
        <v>44</v>
      </c>
      <c r="AB16" s="515">
        <v>42.5</v>
      </c>
      <c r="AC16" s="515">
        <v>52.5</v>
      </c>
      <c r="AD16" s="515">
        <v>42.5</v>
      </c>
      <c r="AE16" s="515">
        <v>75</v>
      </c>
      <c r="AF16" s="515">
        <v>60.5</v>
      </c>
      <c r="AG16" s="515">
        <v>57.5</v>
      </c>
      <c r="AH16" s="515">
        <v>55</v>
      </c>
      <c r="AI16" s="515">
        <v>77</v>
      </c>
      <c r="AJ16" s="515">
        <v>55</v>
      </c>
      <c r="AK16" s="515">
        <v>39</v>
      </c>
      <c r="AL16" s="515">
        <v>40</v>
      </c>
      <c r="AM16" s="515"/>
      <c r="AN16" s="515"/>
      <c r="AO16" s="515"/>
      <c r="AP16" s="515"/>
      <c r="AQ16" s="515"/>
      <c r="AR16" s="515"/>
      <c r="AS16" s="515"/>
      <c r="AT16" s="515"/>
      <c r="AU16" s="515"/>
      <c r="AV16" s="515"/>
      <c r="AW16" s="515"/>
      <c r="AX16" s="515"/>
      <c r="AY16" s="515"/>
      <c r="AZ16" s="515"/>
      <c r="BA16" s="515"/>
      <c r="BB16" s="515"/>
      <c r="BC16" s="510">
        <f t="shared" si="1"/>
        <v>51.25</v>
      </c>
      <c r="BD16" s="511">
        <f t="shared" si="2"/>
        <v>51.25</v>
      </c>
      <c r="BE16" s="512">
        <f t="shared" si="0"/>
        <v>9</v>
      </c>
    </row>
    <row r="17" spans="1:57" ht="12" x14ac:dyDescent="0.3">
      <c r="A17" s="506">
        <v>26</v>
      </c>
      <c r="B17" s="506" t="s">
        <v>169</v>
      </c>
      <c r="C17" s="506">
        <v>40</v>
      </c>
      <c r="D17" s="506">
        <v>41</v>
      </c>
      <c r="E17" s="506">
        <v>40</v>
      </c>
      <c r="F17" s="506">
        <v>45</v>
      </c>
      <c r="G17" s="506">
        <v>37.5</v>
      </c>
      <c r="H17" s="508">
        <v>35</v>
      </c>
      <c r="I17" s="506">
        <v>52.5</v>
      </c>
      <c r="J17" s="506">
        <v>46</v>
      </c>
      <c r="K17" s="506">
        <v>43.5</v>
      </c>
      <c r="L17" s="506">
        <v>37</v>
      </c>
      <c r="M17" s="506">
        <v>55</v>
      </c>
      <c r="N17" s="506">
        <v>20</v>
      </c>
      <c r="O17" s="506">
        <v>35</v>
      </c>
      <c r="P17" s="506">
        <v>53</v>
      </c>
      <c r="Q17" s="506">
        <v>65</v>
      </c>
      <c r="R17" s="506">
        <v>55</v>
      </c>
      <c r="S17" s="506">
        <v>40</v>
      </c>
      <c r="T17" s="506">
        <v>55</v>
      </c>
      <c r="U17" s="506">
        <v>35</v>
      </c>
      <c r="V17" s="506">
        <v>33</v>
      </c>
      <c r="W17" s="506">
        <v>29</v>
      </c>
      <c r="X17" s="506">
        <v>22.5</v>
      </c>
      <c r="Y17" s="506">
        <v>35</v>
      </c>
      <c r="Z17" s="506">
        <v>46</v>
      </c>
      <c r="AA17" s="506">
        <v>40</v>
      </c>
      <c r="AB17" s="506">
        <v>34</v>
      </c>
      <c r="AC17" s="506">
        <v>47</v>
      </c>
      <c r="AD17" s="506">
        <v>42.5</v>
      </c>
      <c r="AE17" s="506"/>
      <c r="AF17" s="506"/>
      <c r="AG17" s="506"/>
      <c r="AH17" s="506"/>
      <c r="AI17" s="506"/>
      <c r="AJ17" s="506"/>
      <c r="AK17" s="506"/>
      <c r="AL17" s="506"/>
      <c r="AM17" s="506"/>
      <c r="AN17" s="506"/>
      <c r="AO17" s="506"/>
      <c r="AP17" s="506"/>
      <c r="AQ17" s="506"/>
      <c r="AR17" s="506"/>
      <c r="AS17" s="506"/>
      <c r="AT17" s="515"/>
      <c r="AU17" s="515"/>
      <c r="AV17" s="515"/>
      <c r="AW17" s="515"/>
      <c r="AX17" s="515"/>
      <c r="AY17" s="515"/>
      <c r="AZ17" s="515"/>
      <c r="BA17" s="515"/>
      <c r="BB17" s="515"/>
      <c r="BC17" s="510">
        <f t="shared" ref="BC17" si="3">AVERAGE(C17:BB17)</f>
        <v>41.410714285714285</v>
      </c>
      <c r="BD17" s="511">
        <f t="shared" ref="BD17" si="4">IF(BC17&lt;5,5,BC17)</f>
        <v>41.410714285714285</v>
      </c>
      <c r="BE17" s="512">
        <f t="shared" si="0"/>
        <v>12</v>
      </c>
    </row>
    <row r="18" spans="1:57" x14ac:dyDescent="0.25">
      <c r="C18" s="494"/>
      <c r="BC18" s="516"/>
      <c r="BD18" s="499"/>
    </row>
    <row r="19" spans="1:57" ht="18" customHeight="1" x14ac:dyDescent="0.25">
      <c r="C19" s="656"/>
      <c r="D19" s="656"/>
      <c r="E19" s="656"/>
      <c r="F19" s="660"/>
      <c r="G19" s="656"/>
      <c r="H19" s="655"/>
      <c r="I19" s="656"/>
      <c r="J19" s="656"/>
      <c r="K19" s="656"/>
      <c r="L19" s="656"/>
      <c r="M19" s="655"/>
      <c r="N19" s="656"/>
      <c r="O19" s="655"/>
      <c r="P19" s="658"/>
      <c r="Q19" s="656"/>
      <c r="R19" s="659"/>
      <c r="S19" s="656"/>
      <c r="T19" s="656"/>
      <c r="U19" s="656"/>
      <c r="V19" s="656"/>
      <c r="W19" s="656"/>
      <c r="X19" s="656"/>
      <c r="Y19" s="656"/>
      <c r="Z19" s="656"/>
      <c r="AA19" s="656"/>
      <c r="AB19" s="655"/>
      <c r="AC19" s="656"/>
      <c r="AD19" s="656"/>
      <c r="AE19" s="656"/>
      <c r="AF19" s="654"/>
      <c r="AG19" s="655"/>
      <c r="AH19" s="656"/>
      <c r="AI19" s="656"/>
      <c r="AJ19" s="656"/>
      <c r="AK19" s="655"/>
      <c r="AL19" s="657"/>
      <c r="AM19" s="654"/>
      <c r="AN19" s="656"/>
      <c r="AO19" s="656"/>
      <c r="AP19" s="656"/>
      <c r="AQ19" s="656"/>
      <c r="AR19" s="656"/>
      <c r="AS19" s="656"/>
      <c r="AT19" s="656"/>
      <c r="AU19" s="517"/>
      <c r="AV19" s="517"/>
      <c r="AW19" s="517"/>
      <c r="AX19" s="517"/>
      <c r="AY19" s="517"/>
      <c r="AZ19" s="517"/>
      <c r="BA19" s="517"/>
      <c r="BB19" s="517"/>
    </row>
    <row r="20" spans="1:57" ht="12.75" customHeight="1" x14ac:dyDescent="0.25">
      <c r="C20" s="656"/>
      <c r="D20" s="656"/>
      <c r="E20" s="656"/>
      <c r="F20" s="660"/>
      <c r="G20" s="656"/>
      <c r="H20" s="655"/>
      <c r="I20" s="656"/>
      <c r="J20" s="656"/>
      <c r="K20" s="656"/>
      <c r="L20" s="656"/>
      <c r="M20" s="655"/>
      <c r="N20" s="656"/>
      <c r="O20" s="655"/>
      <c r="P20" s="658"/>
      <c r="Q20" s="656"/>
      <c r="R20" s="659"/>
      <c r="S20" s="656"/>
      <c r="T20" s="656"/>
      <c r="U20" s="656"/>
      <c r="V20" s="656"/>
      <c r="W20" s="656"/>
      <c r="X20" s="656"/>
      <c r="Y20" s="656"/>
      <c r="Z20" s="656"/>
      <c r="AA20" s="656"/>
      <c r="AB20" s="655"/>
      <c r="AC20" s="656"/>
      <c r="AD20" s="656"/>
      <c r="AE20" s="656"/>
      <c r="AF20" s="654"/>
      <c r="AG20" s="655"/>
      <c r="AH20" s="656"/>
      <c r="AI20" s="656"/>
      <c r="AJ20" s="656"/>
      <c r="AK20" s="655"/>
      <c r="AL20" s="657"/>
      <c r="AM20" s="654"/>
      <c r="AN20" s="656"/>
      <c r="AO20" s="656"/>
      <c r="AP20" s="656"/>
      <c r="AQ20" s="656"/>
      <c r="AR20" s="656"/>
      <c r="AS20" s="656"/>
      <c r="AT20" s="656"/>
      <c r="AU20" s="517"/>
      <c r="AV20" s="517"/>
      <c r="AW20" s="517"/>
      <c r="AX20" s="517"/>
      <c r="AY20" s="517"/>
      <c r="AZ20" s="517"/>
      <c r="BA20" s="517"/>
      <c r="BB20" s="517"/>
    </row>
    <row r="21" spans="1:57" ht="12.75" customHeight="1" x14ac:dyDescent="0.25">
      <c r="C21" s="656"/>
      <c r="D21" s="656"/>
      <c r="E21" s="656"/>
      <c r="F21" s="660"/>
      <c r="G21" s="656"/>
      <c r="H21" s="655"/>
      <c r="I21" s="656"/>
      <c r="J21" s="656"/>
      <c r="K21" s="656"/>
      <c r="L21" s="656"/>
      <c r="M21" s="655"/>
      <c r="N21" s="656"/>
      <c r="O21" s="655"/>
      <c r="P21" s="658"/>
      <c r="Q21" s="656"/>
      <c r="R21" s="659"/>
      <c r="S21" s="656"/>
      <c r="T21" s="656"/>
      <c r="U21" s="656"/>
      <c r="V21" s="656"/>
      <c r="W21" s="656"/>
      <c r="X21" s="656"/>
      <c r="Y21" s="656"/>
      <c r="Z21" s="656"/>
      <c r="AA21" s="656"/>
      <c r="AB21" s="655"/>
      <c r="AC21" s="656"/>
      <c r="AD21" s="656"/>
      <c r="AE21" s="656"/>
      <c r="AF21" s="654"/>
      <c r="AG21" s="655"/>
      <c r="AH21" s="656"/>
      <c r="AI21" s="656"/>
      <c r="AJ21" s="656"/>
      <c r="AK21" s="655"/>
      <c r="AL21" s="657"/>
      <c r="AM21" s="654"/>
      <c r="AN21" s="656"/>
      <c r="AO21" s="656"/>
      <c r="AP21" s="656"/>
      <c r="AQ21" s="656"/>
      <c r="AR21" s="656"/>
      <c r="AS21" s="656"/>
      <c r="AT21" s="656"/>
      <c r="AU21" s="517"/>
      <c r="AV21" s="517"/>
      <c r="AW21" s="517"/>
      <c r="AX21" s="517"/>
      <c r="AY21" s="517"/>
      <c r="AZ21" s="517"/>
      <c r="BA21" s="517"/>
      <c r="BB21" s="517"/>
    </row>
    <row r="22" spans="1:57" ht="12.75" customHeight="1" x14ac:dyDescent="0.25">
      <c r="C22" s="656"/>
      <c r="D22" s="656"/>
      <c r="E22" s="656"/>
      <c r="F22" s="660"/>
      <c r="G22" s="656"/>
      <c r="H22" s="655"/>
      <c r="I22" s="656"/>
      <c r="J22" s="656"/>
      <c r="K22" s="656"/>
      <c r="L22" s="656"/>
      <c r="M22" s="655"/>
      <c r="N22" s="656"/>
      <c r="O22" s="655"/>
      <c r="P22" s="658"/>
      <c r="Q22" s="656"/>
      <c r="R22" s="659"/>
      <c r="S22" s="656"/>
      <c r="T22" s="656"/>
      <c r="U22" s="656"/>
      <c r="V22" s="656"/>
      <c r="W22" s="656"/>
      <c r="X22" s="656"/>
      <c r="Y22" s="656"/>
      <c r="Z22" s="656"/>
      <c r="AA22" s="656"/>
      <c r="AB22" s="655"/>
      <c r="AC22" s="656"/>
      <c r="AD22" s="656"/>
      <c r="AE22" s="656"/>
      <c r="AF22" s="654"/>
      <c r="AG22" s="655"/>
      <c r="AH22" s="656"/>
      <c r="AI22" s="656"/>
      <c r="AJ22" s="656"/>
      <c r="AK22" s="655"/>
      <c r="AL22" s="657"/>
      <c r="AM22" s="654"/>
      <c r="AN22" s="656"/>
      <c r="AO22" s="656"/>
      <c r="AP22" s="656"/>
      <c r="AQ22" s="656"/>
      <c r="AR22" s="656"/>
      <c r="AS22" s="656"/>
      <c r="AT22" s="656"/>
      <c r="AU22" s="517"/>
      <c r="AV22" s="517"/>
      <c r="AW22" s="517"/>
      <c r="AX22" s="517"/>
      <c r="AY22" s="517"/>
      <c r="AZ22" s="517"/>
      <c r="BA22" s="517"/>
      <c r="BB22" s="517"/>
    </row>
    <row r="23" spans="1:57" ht="12.75" customHeight="1" x14ac:dyDescent="0.25">
      <c r="C23" s="656"/>
      <c r="D23" s="656"/>
      <c r="E23" s="656"/>
      <c r="F23" s="660"/>
      <c r="G23" s="656"/>
      <c r="H23" s="655"/>
      <c r="I23" s="656"/>
      <c r="J23" s="656"/>
      <c r="K23" s="656"/>
      <c r="L23" s="656"/>
      <c r="M23" s="655"/>
      <c r="N23" s="656"/>
      <c r="O23" s="655"/>
      <c r="P23" s="658"/>
      <c r="Q23" s="656"/>
      <c r="R23" s="659"/>
      <c r="S23" s="656"/>
      <c r="T23" s="656"/>
      <c r="U23" s="656"/>
      <c r="V23" s="656"/>
      <c r="W23" s="656"/>
      <c r="X23" s="656"/>
      <c r="Y23" s="656"/>
      <c r="Z23" s="656"/>
      <c r="AA23" s="656"/>
      <c r="AB23" s="655"/>
      <c r="AC23" s="656"/>
      <c r="AD23" s="656"/>
      <c r="AE23" s="656"/>
      <c r="AF23" s="654"/>
      <c r="AG23" s="655"/>
      <c r="AH23" s="656"/>
      <c r="AI23" s="656"/>
      <c r="AJ23" s="656"/>
      <c r="AK23" s="655"/>
      <c r="AL23" s="657"/>
      <c r="AM23" s="654"/>
      <c r="AN23" s="656"/>
      <c r="AO23" s="656"/>
      <c r="AP23" s="656"/>
      <c r="AQ23" s="656"/>
      <c r="AR23" s="656"/>
      <c r="AS23" s="656"/>
      <c r="AT23" s="656"/>
      <c r="AU23" s="517"/>
      <c r="AV23" s="517"/>
      <c r="AW23" s="517"/>
      <c r="AX23" s="517"/>
      <c r="AY23" s="517"/>
      <c r="AZ23" s="517"/>
      <c r="BA23" s="517"/>
      <c r="BB23" s="517"/>
    </row>
    <row r="24" spans="1:57" ht="25.5" customHeight="1" x14ac:dyDescent="0.25">
      <c r="C24" s="656"/>
      <c r="D24" s="656"/>
      <c r="E24" s="656"/>
      <c r="F24" s="660"/>
      <c r="G24" s="656"/>
      <c r="H24" s="655"/>
      <c r="I24" s="656"/>
      <c r="J24" s="656"/>
      <c r="K24" s="656"/>
      <c r="L24" s="656"/>
      <c r="M24" s="655"/>
      <c r="N24" s="656"/>
      <c r="O24" s="655"/>
      <c r="P24" s="658"/>
      <c r="Q24" s="656"/>
      <c r="R24" s="659"/>
      <c r="S24" s="656"/>
      <c r="T24" s="656"/>
      <c r="U24" s="656"/>
      <c r="V24" s="656"/>
      <c r="W24" s="656"/>
      <c r="X24" s="656"/>
      <c r="Y24" s="656"/>
      <c r="Z24" s="656"/>
      <c r="AA24" s="656"/>
      <c r="AB24" s="655"/>
      <c r="AC24" s="656"/>
      <c r="AD24" s="656"/>
      <c r="AE24" s="656"/>
      <c r="AF24" s="654"/>
      <c r="AG24" s="655"/>
      <c r="AH24" s="656"/>
      <c r="AI24" s="656"/>
      <c r="AJ24" s="656"/>
      <c r="AK24" s="655"/>
      <c r="AL24" s="657"/>
      <c r="AM24" s="654"/>
      <c r="AN24" s="656"/>
      <c r="AO24" s="656"/>
      <c r="AP24" s="656"/>
      <c r="AQ24" s="656"/>
      <c r="AR24" s="656"/>
      <c r="AS24" s="656"/>
      <c r="AT24" s="656"/>
      <c r="AU24" s="517"/>
      <c r="AV24" s="517"/>
      <c r="AW24" s="517"/>
      <c r="AX24" s="517"/>
      <c r="AY24" s="517"/>
      <c r="AZ24" s="517"/>
      <c r="BA24" s="517"/>
      <c r="BB24" s="517"/>
    </row>
    <row r="25" spans="1:57" ht="12.75" customHeight="1" x14ac:dyDescent="0.25">
      <c r="C25" s="656"/>
      <c r="D25" s="656"/>
      <c r="E25" s="656"/>
      <c r="F25" s="660"/>
      <c r="G25" s="656"/>
      <c r="H25" s="655"/>
      <c r="I25" s="656"/>
      <c r="J25" s="656"/>
      <c r="K25" s="656"/>
      <c r="L25" s="656"/>
      <c r="M25" s="655"/>
      <c r="N25" s="656"/>
      <c r="O25" s="655"/>
      <c r="P25" s="658"/>
      <c r="Q25" s="656"/>
      <c r="R25" s="659"/>
      <c r="S25" s="656"/>
      <c r="T25" s="656"/>
      <c r="U25" s="656"/>
      <c r="V25" s="656"/>
      <c r="W25" s="656"/>
      <c r="X25" s="656"/>
      <c r="Y25" s="656"/>
      <c r="Z25" s="656"/>
      <c r="AA25" s="656"/>
      <c r="AB25" s="655"/>
      <c r="AC25" s="656"/>
      <c r="AD25" s="656"/>
      <c r="AE25" s="656"/>
      <c r="AF25" s="654"/>
      <c r="AG25" s="655"/>
      <c r="AH25" s="656"/>
      <c r="AI25" s="656"/>
      <c r="AJ25" s="656"/>
      <c r="AK25" s="655"/>
      <c r="AL25" s="657"/>
      <c r="AM25" s="654"/>
      <c r="AN25" s="656"/>
      <c r="AO25" s="656"/>
      <c r="AP25" s="656"/>
      <c r="AQ25" s="656"/>
      <c r="AR25" s="656"/>
      <c r="AS25" s="656"/>
      <c r="AT25" s="656"/>
      <c r="AU25" s="517"/>
      <c r="AV25" s="517"/>
      <c r="AW25" s="517"/>
      <c r="AX25" s="517"/>
      <c r="AY25" s="517"/>
      <c r="AZ25" s="517"/>
      <c r="BA25" s="517"/>
      <c r="BB25" s="517"/>
    </row>
    <row r="26" spans="1:57" ht="12.75" customHeight="1" x14ac:dyDescent="0.25">
      <c r="C26" s="656"/>
      <c r="D26" s="656"/>
      <c r="E26" s="656"/>
      <c r="F26" s="660"/>
      <c r="G26" s="656"/>
      <c r="H26" s="655"/>
      <c r="I26" s="656"/>
      <c r="J26" s="656"/>
      <c r="K26" s="656"/>
      <c r="L26" s="656"/>
      <c r="M26" s="655"/>
      <c r="N26" s="656"/>
      <c r="O26" s="655"/>
      <c r="P26" s="658"/>
      <c r="Q26" s="656"/>
      <c r="R26" s="659"/>
      <c r="S26" s="656"/>
      <c r="T26" s="656"/>
      <c r="U26" s="656"/>
      <c r="V26" s="656"/>
      <c r="W26" s="656"/>
      <c r="X26" s="656"/>
      <c r="Y26" s="656"/>
      <c r="Z26" s="656"/>
      <c r="AA26" s="656"/>
      <c r="AB26" s="655"/>
      <c r="AC26" s="656"/>
      <c r="AD26" s="656"/>
      <c r="AE26" s="656"/>
      <c r="AF26" s="654"/>
      <c r="AG26" s="655"/>
      <c r="AH26" s="656"/>
      <c r="AI26" s="656"/>
      <c r="AJ26" s="656"/>
      <c r="AK26" s="655"/>
      <c r="AL26" s="657"/>
      <c r="AM26" s="654"/>
      <c r="AN26" s="656"/>
      <c r="AO26" s="656"/>
      <c r="AP26" s="656"/>
      <c r="AQ26" s="656"/>
      <c r="AR26" s="656"/>
      <c r="AS26" s="656"/>
      <c r="AT26" s="656"/>
      <c r="AU26" s="517"/>
      <c r="AV26" s="517"/>
      <c r="AW26" s="517"/>
      <c r="AX26" s="517"/>
      <c r="AY26" s="517"/>
      <c r="AZ26" s="517"/>
      <c r="BA26" s="517"/>
      <c r="BB26" s="517"/>
    </row>
    <row r="27" spans="1:57" x14ac:dyDescent="0.25">
      <c r="C27" s="518"/>
    </row>
    <row r="28" spans="1:57" x14ac:dyDescent="0.25">
      <c r="G28" s="499"/>
    </row>
  </sheetData>
  <mergeCells count="44">
    <mergeCell ref="M19:M26"/>
    <mergeCell ref="C19:C26"/>
    <mergeCell ref="D19:D26"/>
    <mergeCell ref="E19:E26"/>
    <mergeCell ref="H19:H26"/>
    <mergeCell ref="I19:I26"/>
    <mergeCell ref="J19:J26"/>
    <mergeCell ref="K19:K26"/>
    <mergeCell ref="L19:L26"/>
    <mergeCell ref="F19:F26"/>
    <mergeCell ref="Y19:Y26"/>
    <mergeCell ref="N19:N26"/>
    <mergeCell ref="O19:O26"/>
    <mergeCell ref="P19:P26"/>
    <mergeCell ref="Q19:Q26"/>
    <mergeCell ref="R19:R26"/>
    <mergeCell ref="S19:S26"/>
    <mergeCell ref="AT19:AT26"/>
    <mergeCell ref="AJ19:AJ26"/>
    <mergeCell ref="AK19:AK26"/>
    <mergeCell ref="AL19:AL26"/>
    <mergeCell ref="AM19:AM26"/>
    <mergeCell ref="AQ19:AQ26"/>
    <mergeCell ref="AR19:AR26"/>
    <mergeCell ref="AS19:AS26"/>
    <mergeCell ref="AN19:AN26"/>
    <mergeCell ref="AO19:AO26"/>
    <mergeCell ref="AP19:AP26"/>
    <mergeCell ref="AF19:AF26"/>
    <mergeCell ref="AG19:AG26"/>
    <mergeCell ref="AH19:AH26"/>
    <mergeCell ref="AI19:AI26"/>
    <mergeCell ref="G19:G26"/>
    <mergeCell ref="Z19:Z26"/>
    <mergeCell ref="AA19:AA26"/>
    <mergeCell ref="AB19:AB26"/>
    <mergeCell ref="AC19:AC26"/>
    <mergeCell ref="AD19:AD26"/>
    <mergeCell ref="AE19:AE26"/>
    <mergeCell ref="T19:T26"/>
    <mergeCell ref="U19:U26"/>
    <mergeCell ref="V19:V26"/>
    <mergeCell ref="W19:W26"/>
    <mergeCell ref="X19:X26"/>
  </mergeCells>
  <phoneticPr fontId="31" type="noConversion"/>
  <printOptions gridLines="1"/>
  <pageMargins left="0.21" right="0.2" top="1" bottom="1" header="0.5" footer="0.5"/>
  <pageSetup scale="35"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9"/>
  <sheetViews>
    <sheetView zoomScale="70" zoomScaleNormal="70" workbookViewId="0">
      <selection activeCell="F5" sqref="F5"/>
    </sheetView>
  </sheetViews>
  <sheetFormatPr defaultColWidth="8.81640625" defaultRowHeight="12.5" x14ac:dyDescent="0.25"/>
  <cols>
    <col min="2" max="2" width="55.54296875" customWidth="1"/>
    <col min="3" max="3" width="9.81640625" customWidth="1"/>
    <col min="4" max="4" width="10" customWidth="1"/>
    <col min="5" max="5" width="11.453125" customWidth="1"/>
    <col min="6" max="6" width="14" customWidth="1"/>
    <col min="7" max="7" width="14.1796875" customWidth="1"/>
    <col min="8" max="8" width="12.81640625" customWidth="1"/>
    <col min="9" max="9" width="12.453125" customWidth="1"/>
    <col min="10" max="10" width="11" customWidth="1"/>
    <col min="15" max="15" width="34.453125" customWidth="1"/>
  </cols>
  <sheetData>
    <row r="1" spans="1:15" ht="33" customHeight="1" x14ac:dyDescent="0.5">
      <c r="B1" s="185" t="s">
        <v>226</v>
      </c>
      <c r="C1" s="7"/>
      <c r="D1" s="6"/>
      <c r="E1" s="8"/>
      <c r="F1" s="196"/>
      <c r="G1" s="30"/>
      <c r="H1" s="482" t="s">
        <v>301</v>
      </c>
      <c r="I1" s="6"/>
    </row>
    <row r="2" spans="1:15" s="49" customFormat="1" ht="30" customHeight="1" x14ac:dyDescent="0.25">
      <c r="B2" s="30"/>
      <c r="C2" s="30"/>
      <c r="D2" s="30"/>
      <c r="E2" s="113" t="s">
        <v>15</v>
      </c>
      <c r="F2" s="114">
        <f>MIN(E5:E18)</f>
        <v>0</v>
      </c>
      <c r="G2" s="30" t="s">
        <v>16</v>
      </c>
      <c r="H2" s="30"/>
      <c r="I2" s="30"/>
      <c r="J2" s="114">
        <f>MAX(J5:J17)</f>
        <v>0</v>
      </c>
    </row>
    <row r="3" spans="1:15" ht="30.75" customHeight="1" thickBot="1" x14ac:dyDescent="0.35">
      <c r="B3" s="123"/>
      <c r="C3" s="230"/>
      <c r="D3" s="10"/>
      <c r="E3" s="115" t="s">
        <v>70</v>
      </c>
      <c r="F3" s="114">
        <f>MAX(E5:E18)</f>
        <v>0</v>
      </c>
      <c r="G3" s="132" t="s">
        <v>16</v>
      </c>
      <c r="H3" s="132" t="s">
        <v>174</v>
      </c>
      <c r="J3" s="114">
        <f>MIN(J5:J17)</f>
        <v>0</v>
      </c>
    </row>
    <row r="4" spans="1:15" s="303" customFormat="1" ht="61.5" customHeight="1" x14ac:dyDescent="0.35">
      <c r="B4" s="325"/>
      <c r="C4" s="326" t="s">
        <v>28</v>
      </c>
      <c r="D4" s="326" t="s">
        <v>29</v>
      </c>
      <c r="E4" s="326" t="s">
        <v>35</v>
      </c>
      <c r="F4" s="327" t="s">
        <v>9</v>
      </c>
      <c r="G4" s="328" t="s">
        <v>26</v>
      </c>
      <c r="H4" s="329" t="s">
        <v>159</v>
      </c>
      <c r="I4" s="329" t="s">
        <v>160</v>
      </c>
      <c r="J4" s="330" t="s">
        <v>161</v>
      </c>
      <c r="K4" s="328" t="s">
        <v>26</v>
      </c>
      <c r="O4" s="483" t="s">
        <v>302</v>
      </c>
    </row>
    <row r="5" spans="1:15" s="303" customFormat="1" ht="16" thickBot="1" x14ac:dyDescent="0.4">
      <c r="A5" s="351">
        <v>11</v>
      </c>
      <c r="B5" s="351" t="s">
        <v>168</v>
      </c>
      <c r="C5" s="331"/>
      <c r="D5" s="331"/>
      <c r="E5" s="332">
        <f>MIN(C5:D5)</f>
        <v>0</v>
      </c>
      <c r="F5" s="333">
        <v>0</v>
      </c>
      <c r="G5" s="334">
        <f>RANK(F5,$F$5:$F$18)</f>
        <v>1</v>
      </c>
      <c r="H5" s="332"/>
      <c r="I5" s="332"/>
      <c r="J5" s="335">
        <f>MAX(H5:I5)</f>
        <v>0</v>
      </c>
      <c r="K5" s="334">
        <f>RANK(J5,$J$5:$J$17)</f>
        <v>1</v>
      </c>
      <c r="O5" s="484" t="e">
        <f>IF(E5&gt;=10,2.5,(-$E$21*E5+$E$22))</f>
        <v>#DIV/0!</v>
      </c>
    </row>
    <row r="6" spans="1:15" s="303" customFormat="1" ht="15.5" x14ac:dyDescent="0.35">
      <c r="A6" s="351">
        <v>12</v>
      </c>
      <c r="B6" s="351" t="s">
        <v>171</v>
      </c>
      <c r="C6" s="331"/>
      <c r="D6" s="331"/>
      <c r="E6" s="332">
        <f t="shared" ref="E6:E18" si="0">MIN(C6:D6)</f>
        <v>0</v>
      </c>
      <c r="F6" s="333">
        <v>0</v>
      </c>
      <c r="G6" s="334">
        <f t="shared" ref="G6:G18" si="1">RANK(F6,$F$5:$F$18)</f>
        <v>1</v>
      </c>
      <c r="H6" s="332"/>
      <c r="I6" s="332"/>
      <c r="J6" s="335">
        <f>MAX(H6:I6)</f>
        <v>0</v>
      </c>
      <c r="K6" s="334">
        <f>RANK(J6,$J$5:$J$17)</f>
        <v>1</v>
      </c>
    </row>
    <row r="7" spans="1:15" s="303" customFormat="1" ht="15.5" x14ac:dyDescent="0.35">
      <c r="A7" s="351">
        <v>13</v>
      </c>
      <c r="B7" s="351" t="s">
        <v>173</v>
      </c>
      <c r="C7" s="331"/>
      <c r="D7" s="331"/>
      <c r="E7" s="332">
        <f t="shared" si="0"/>
        <v>0</v>
      </c>
      <c r="F7" s="333">
        <v>0</v>
      </c>
      <c r="G7" s="334">
        <f t="shared" si="1"/>
        <v>1</v>
      </c>
      <c r="H7" s="332"/>
      <c r="I7" s="332"/>
      <c r="J7" s="335">
        <f>MAX(H7:I7)</f>
        <v>0</v>
      </c>
      <c r="K7" s="334">
        <f>RANK(J7,$J$5:$J$17)</f>
        <v>1</v>
      </c>
    </row>
    <row r="8" spans="1:15" s="304" customFormat="1" ht="15.5" x14ac:dyDescent="0.35">
      <c r="A8" s="351">
        <v>14</v>
      </c>
      <c r="B8" s="351" t="s">
        <v>198</v>
      </c>
      <c r="C8" s="331"/>
      <c r="D8" s="331"/>
      <c r="E8" s="332">
        <f t="shared" si="0"/>
        <v>0</v>
      </c>
      <c r="F8" s="333">
        <v>0</v>
      </c>
      <c r="G8" s="334">
        <f t="shared" si="1"/>
        <v>1</v>
      </c>
      <c r="H8" s="332"/>
      <c r="I8" s="332"/>
      <c r="J8" s="335">
        <f>MAX(H8:I8)</f>
        <v>0</v>
      </c>
      <c r="K8" s="334">
        <f>RANK(J8,$J$5:$J$17)</f>
        <v>1</v>
      </c>
    </row>
    <row r="9" spans="1:15" s="303" customFormat="1" ht="15.5" x14ac:dyDescent="0.35">
      <c r="A9" s="351">
        <v>15</v>
      </c>
      <c r="B9" s="351" t="s">
        <v>164</v>
      </c>
      <c r="C9" s="331"/>
      <c r="D9" s="331"/>
      <c r="E9" s="332">
        <f t="shared" si="0"/>
        <v>0</v>
      </c>
      <c r="F9" s="333">
        <v>0</v>
      </c>
      <c r="G9" s="334">
        <f t="shared" si="1"/>
        <v>1</v>
      </c>
      <c r="H9" s="332"/>
      <c r="I9" s="332"/>
      <c r="J9" s="335">
        <f>MAX(H9:I9)</f>
        <v>0</v>
      </c>
      <c r="K9" s="334">
        <f>RANK(J9,$J$5:$J$17)</f>
        <v>1</v>
      </c>
    </row>
    <row r="10" spans="1:15" s="303" customFormat="1" ht="15.5" x14ac:dyDescent="0.35">
      <c r="A10" s="351">
        <v>16</v>
      </c>
      <c r="B10" s="351" t="s">
        <v>208</v>
      </c>
      <c r="C10" s="331"/>
      <c r="D10" s="331"/>
      <c r="E10" s="332">
        <f t="shared" si="0"/>
        <v>0</v>
      </c>
      <c r="F10" s="333">
        <v>0</v>
      </c>
      <c r="G10" s="334">
        <f t="shared" si="1"/>
        <v>1</v>
      </c>
      <c r="H10" s="332"/>
      <c r="I10" s="332"/>
      <c r="J10" s="335">
        <f t="shared" ref="J10:J12" si="2">MAX(H10:I10)</f>
        <v>0</v>
      </c>
      <c r="K10" s="334">
        <f t="shared" ref="K10:K12" si="3">RANK(J10,$J$5:$J$17)</f>
        <v>1</v>
      </c>
    </row>
    <row r="11" spans="1:15" s="303" customFormat="1" ht="15.5" x14ac:dyDescent="0.35">
      <c r="A11" s="351">
        <v>17</v>
      </c>
      <c r="B11" s="351" t="s">
        <v>167</v>
      </c>
      <c r="C11" s="331"/>
      <c r="D11" s="331"/>
      <c r="E11" s="332">
        <f t="shared" si="0"/>
        <v>0</v>
      </c>
      <c r="F11" s="333">
        <v>0</v>
      </c>
      <c r="G11" s="334">
        <f t="shared" si="1"/>
        <v>1</v>
      </c>
      <c r="H11" s="332"/>
      <c r="I11" s="332"/>
      <c r="J11" s="335">
        <f t="shared" si="2"/>
        <v>0</v>
      </c>
      <c r="K11" s="334">
        <f t="shared" si="3"/>
        <v>1</v>
      </c>
    </row>
    <row r="12" spans="1:15" s="303" customFormat="1" ht="15.5" x14ac:dyDescent="0.35">
      <c r="A12" s="351">
        <v>18</v>
      </c>
      <c r="B12" s="351" t="s">
        <v>209</v>
      </c>
      <c r="C12" s="331"/>
      <c r="D12" s="331"/>
      <c r="E12" s="332">
        <f t="shared" si="0"/>
        <v>0</v>
      </c>
      <c r="F12" s="333">
        <v>0</v>
      </c>
      <c r="G12" s="334">
        <f t="shared" si="1"/>
        <v>1</v>
      </c>
      <c r="H12" s="332"/>
      <c r="I12" s="332"/>
      <c r="J12" s="335">
        <f t="shared" si="2"/>
        <v>0</v>
      </c>
      <c r="K12" s="334">
        <f t="shared" si="3"/>
        <v>1</v>
      </c>
    </row>
    <row r="13" spans="1:15" s="303" customFormat="1" ht="15.5" x14ac:dyDescent="0.35">
      <c r="A13" s="351">
        <v>19</v>
      </c>
      <c r="B13" s="351" t="s">
        <v>170</v>
      </c>
      <c r="C13" s="331"/>
      <c r="D13" s="331"/>
      <c r="E13" s="332">
        <f t="shared" si="0"/>
        <v>0</v>
      </c>
      <c r="F13" s="333">
        <v>0</v>
      </c>
      <c r="G13" s="334">
        <f t="shared" si="1"/>
        <v>1</v>
      </c>
      <c r="H13" s="332"/>
      <c r="I13" s="332"/>
      <c r="J13" s="335">
        <f t="shared" ref="J13:J18" si="4">MAX(H13:I13)</f>
        <v>0</v>
      </c>
      <c r="K13" s="334">
        <f t="shared" ref="K13:K18" si="5">RANK(J13,$J$5:$J$17)</f>
        <v>1</v>
      </c>
    </row>
    <row r="14" spans="1:15" s="336" customFormat="1" ht="15.5" x14ac:dyDescent="0.35">
      <c r="A14" s="351">
        <v>20</v>
      </c>
      <c r="B14" s="351" t="s">
        <v>166</v>
      </c>
      <c r="C14" s="331"/>
      <c r="D14" s="331"/>
      <c r="E14" s="332">
        <f t="shared" si="0"/>
        <v>0</v>
      </c>
      <c r="F14" s="333">
        <v>0</v>
      </c>
      <c r="G14" s="334">
        <f t="shared" si="1"/>
        <v>1</v>
      </c>
      <c r="H14" s="332"/>
      <c r="I14" s="332"/>
      <c r="J14" s="335">
        <f t="shared" si="4"/>
        <v>0</v>
      </c>
      <c r="K14" s="334">
        <f t="shared" si="5"/>
        <v>1</v>
      </c>
    </row>
    <row r="15" spans="1:15" s="336" customFormat="1" ht="15.5" x14ac:dyDescent="0.35">
      <c r="A15" s="351">
        <v>21</v>
      </c>
      <c r="B15" s="351" t="s">
        <v>165</v>
      </c>
      <c r="C15" s="331"/>
      <c r="D15" s="331"/>
      <c r="E15" s="332">
        <f t="shared" si="0"/>
        <v>0</v>
      </c>
      <c r="F15" s="333">
        <v>0</v>
      </c>
      <c r="G15" s="334">
        <f t="shared" si="1"/>
        <v>1</v>
      </c>
      <c r="H15" s="332"/>
      <c r="I15" s="332"/>
      <c r="J15" s="335">
        <f t="shared" si="4"/>
        <v>0</v>
      </c>
      <c r="K15" s="334">
        <f t="shared" si="5"/>
        <v>1</v>
      </c>
    </row>
    <row r="16" spans="1:15" s="336" customFormat="1" ht="15.5" x14ac:dyDescent="0.35">
      <c r="A16" s="351">
        <v>22</v>
      </c>
      <c r="B16" s="351" t="s">
        <v>172</v>
      </c>
      <c r="C16" s="331"/>
      <c r="D16" s="331"/>
      <c r="E16" s="332">
        <f t="shared" si="0"/>
        <v>0</v>
      </c>
      <c r="F16" s="333">
        <v>0</v>
      </c>
      <c r="G16" s="334">
        <f t="shared" si="1"/>
        <v>1</v>
      </c>
      <c r="H16" s="332"/>
      <c r="I16" s="332"/>
      <c r="J16" s="335">
        <f t="shared" si="4"/>
        <v>0</v>
      </c>
      <c r="K16" s="334">
        <f t="shared" si="5"/>
        <v>1</v>
      </c>
    </row>
    <row r="17" spans="1:11" s="303" customFormat="1" ht="15.5" x14ac:dyDescent="0.35">
      <c r="A17" s="351">
        <v>23</v>
      </c>
      <c r="B17" s="351" t="s">
        <v>210</v>
      </c>
      <c r="C17" s="331"/>
      <c r="D17" s="331"/>
      <c r="E17" s="332">
        <f t="shared" si="0"/>
        <v>0</v>
      </c>
      <c r="F17" s="333">
        <v>0</v>
      </c>
      <c r="G17" s="334">
        <f t="shared" si="1"/>
        <v>1</v>
      </c>
      <c r="H17" s="332"/>
      <c r="I17" s="332"/>
      <c r="J17" s="335">
        <f t="shared" si="4"/>
        <v>0</v>
      </c>
      <c r="K17" s="334">
        <f t="shared" si="5"/>
        <v>1</v>
      </c>
    </row>
    <row r="18" spans="1:11" s="303" customFormat="1" ht="15.5" x14ac:dyDescent="0.35">
      <c r="A18" s="351">
        <v>26</v>
      </c>
      <c r="B18" s="351" t="s">
        <v>169</v>
      </c>
      <c r="C18" s="331"/>
      <c r="D18" s="331"/>
      <c r="E18" s="332">
        <f t="shared" si="0"/>
        <v>0</v>
      </c>
      <c r="F18" s="333">
        <v>0</v>
      </c>
      <c r="G18" s="334">
        <f t="shared" si="1"/>
        <v>1</v>
      </c>
      <c r="H18" s="332"/>
      <c r="I18" s="332"/>
      <c r="J18" s="335">
        <f t="shared" si="4"/>
        <v>0</v>
      </c>
      <c r="K18" s="334">
        <f t="shared" si="5"/>
        <v>1</v>
      </c>
    </row>
    <row r="19" spans="1:11" s="303" customFormat="1" ht="15.5" x14ac:dyDescent="0.35">
      <c r="B19" s="339"/>
      <c r="C19" s="337"/>
      <c r="D19" s="340"/>
      <c r="E19" s="337"/>
      <c r="F19" s="338"/>
      <c r="G19" s="338"/>
      <c r="H19" s="338"/>
      <c r="I19" s="302"/>
    </row>
    <row r="20" spans="1:11" s="303" customFormat="1" ht="15.5" x14ac:dyDescent="0.35">
      <c r="B20" s="339"/>
      <c r="C20" s="337"/>
      <c r="D20" s="337" t="s">
        <v>113</v>
      </c>
      <c r="E20" s="337"/>
      <c r="F20" s="338"/>
      <c r="G20" s="338"/>
      <c r="H20" s="338"/>
      <c r="I20" s="302"/>
    </row>
    <row r="21" spans="1:11" s="303" customFormat="1" ht="15.5" x14ac:dyDescent="0.35">
      <c r="B21" s="339"/>
      <c r="C21" s="337"/>
      <c r="D21" s="341" t="s">
        <v>110</v>
      </c>
      <c r="E21" s="342" t="e">
        <f>50/(F3-F2)</f>
        <v>#DIV/0!</v>
      </c>
      <c r="F21" s="338"/>
      <c r="G21" s="338"/>
      <c r="H21" s="338"/>
      <c r="I21" s="302"/>
    </row>
    <row r="22" spans="1:11" s="303" customFormat="1" ht="15.5" x14ac:dyDescent="0.35">
      <c r="B22" s="339"/>
      <c r="C22" s="337"/>
      <c r="D22" s="341" t="s">
        <v>111</v>
      </c>
      <c r="E22" s="343" t="e">
        <f>E21*F3</f>
        <v>#DIV/0!</v>
      </c>
      <c r="F22" s="338"/>
      <c r="G22" s="338"/>
      <c r="H22" s="338"/>
      <c r="I22" s="302"/>
    </row>
    <row r="23" spans="1:11" s="303" customFormat="1" ht="15.5" x14ac:dyDescent="0.35">
      <c r="B23" s="339"/>
      <c r="D23" s="341" t="s">
        <v>152</v>
      </c>
      <c r="E23" s="337"/>
      <c r="F23" s="338"/>
      <c r="G23" s="338"/>
      <c r="H23" s="338"/>
      <c r="I23" s="302"/>
    </row>
    <row r="24" spans="1:11" s="303" customFormat="1" ht="15.5" x14ac:dyDescent="0.35">
      <c r="B24" s="339"/>
      <c r="C24" s="337"/>
      <c r="D24" s="337"/>
      <c r="E24" s="337"/>
      <c r="F24" s="338"/>
      <c r="G24" s="338"/>
      <c r="H24" s="338"/>
      <c r="I24" s="302"/>
    </row>
    <row r="25" spans="1:11" x14ac:dyDescent="0.25">
      <c r="B25" s="21"/>
      <c r="C25" s="43"/>
      <c r="D25" s="43"/>
      <c r="E25" s="43"/>
      <c r="F25" s="16"/>
      <c r="G25" s="16"/>
      <c r="H25" s="16"/>
      <c r="I25" s="3"/>
    </row>
    <row r="26" spans="1:11" x14ac:dyDescent="0.25">
      <c r="B26" s="21"/>
      <c r="C26" s="43"/>
      <c r="D26" s="43"/>
      <c r="E26" s="43"/>
      <c r="F26" s="16"/>
      <c r="G26" s="16"/>
      <c r="H26" s="16"/>
      <c r="I26" s="3"/>
    </row>
    <row r="27" spans="1:11" x14ac:dyDescent="0.25">
      <c r="B27" s="21"/>
      <c r="C27" s="43"/>
      <c r="D27" s="43"/>
      <c r="E27" s="43"/>
      <c r="F27" s="16"/>
      <c r="G27" s="16"/>
      <c r="H27" s="16"/>
      <c r="I27" s="3"/>
    </row>
    <row r="28" spans="1:11" s="239" customFormat="1" ht="17.5" x14ac:dyDescent="0.35">
      <c r="B28" s="268" t="s">
        <v>203</v>
      </c>
      <c r="C28" s="269"/>
      <c r="D28" s="269"/>
      <c r="E28" s="269"/>
      <c r="F28" s="270"/>
      <c r="G28" s="270"/>
      <c r="H28" s="270"/>
      <c r="I28" s="271"/>
    </row>
    <row r="29" spans="1:11" x14ac:dyDescent="0.25">
      <c r="B29" s="21"/>
      <c r="C29" s="43"/>
      <c r="D29" s="43"/>
      <c r="E29" s="43"/>
      <c r="F29" s="16"/>
      <c r="G29" s="16"/>
      <c r="H29" s="16"/>
      <c r="I29" s="6"/>
    </row>
    <row r="30" spans="1:11" x14ac:dyDescent="0.25">
      <c r="B30" s="10"/>
      <c r="C30" s="43"/>
      <c r="D30" s="43"/>
      <c r="E30" s="43"/>
      <c r="F30" s="16"/>
      <c r="G30" s="16"/>
      <c r="H30" s="16"/>
      <c r="I30" s="6"/>
    </row>
    <row r="31" spans="1:11" x14ac:dyDescent="0.25">
      <c r="B31" s="10"/>
      <c r="C31" s="43"/>
      <c r="D31" s="43"/>
      <c r="E31" s="43"/>
      <c r="F31" s="16"/>
      <c r="G31" s="16"/>
      <c r="H31" s="16"/>
      <c r="I31" s="6"/>
    </row>
    <row r="32" spans="1:11" x14ac:dyDescent="0.25">
      <c r="B32" s="10"/>
      <c r="C32" s="43"/>
      <c r="D32" s="43"/>
      <c r="E32" s="43"/>
      <c r="F32" s="16"/>
      <c r="G32" s="16"/>
      <c r="H32" s="16"/>
      <c r="I32" s="6"/>
    </row>
    <row r="33" spans="2:9" x14ac:dyDescent="0.25">
      <c r="B33" s="39"/>
      <c r="C33" s="10"/>
      <c r="D33" s="10"/>
      <c r="E33" s="10"/>
      <c r="F33" s="6"/>
      <c r="G33" s="6"/>
      <c r="H33" s="6"/>
      <c r="I33" s="6"/>
    </row>
    <row r="34" spans="2:9" x14ac:dyDescent="0.25">
      <c r="C34" s="4"/>
      <c r="D34" s="4"/>
      <c r="E34" s="4"/>
    </row>
    <row r="35" spans="2:9" x14ac:dyDescent="0.25">
      <c r="C35" s="4"/>
      <c r="D35" s="4"/>
      <c r="E35" s="4"/>
    </row>
    <row r="36" spans="2:9" x14ac:dyDescent="0.25">
      <c r="C36" s="4"/>
      <c r="D36" s="4"/>
      <c r="E36" s="4"/>
    </row>
    <row r="37" spans="2:9" x14ac:dyDescent="0.25">
      <c r="C37" s="4"/>
      <c r="D37" s="4"/>
      <c r="E37" s="4"/>
    </row>
    <row r="38" spans="2:9" x14ac:dyDescent="0.25">
      <c r="C38" s="4"/>
      <c r="D38" s="4"/>
      <c r="E38" s="4"/>
    </row>
    <row r="39" spans="2:9" x14ac:dyDescent="0.25">
      <c r="C39" s="4"/>
      <c r="D39" s="4"/>
      <c r="E39" s="4"/>
    </row>
    <row r="40" spans="2:9" x14ac:dyDescent="0.25">
      <c r="C40" s="4"/>
      <c r="D40" s="4"/>
      <c r="E40" s="4"/>
    </row>
    <row r="41" spans="2:9" x14ac:dyDescent="0.25">
      <c r="C41" s="4"/>
      <c r="D41" s="4"/>
      <c r="E41" s="4"/>
    </row>
    <row r="42" spans="2:9" x14ac:dyDescent="0.25">
      <c r="C42" s="4"/>
      <c r="D42" s="4"/>
      <c r="E42" s="4"/>
    </row>
    <row r="43" spans="2:9" x14ac:dyDescent="0.25">
      <c r="C43" s="4"/>
      <c r="D43" s="4"/>
      <c r="E43" s="4"/>
    </row>
    <row r="44" spans="2:9" x14ac:dyDescent="0.25">
      <c r="C44" s="4"/>
      <c r="D44" s="4"/>
      <c r="E44" s="4"/>
    </row>
    <row r="45" spans="2:9" x14ac:dyDescent="0.25">
      <c r="C45" s="4"/>
      <c r="D45" s="4"/>
      <c r="E45" s="4"/>
    </row>
    <row r="46" spans="2:9" x14ac:dyDescent="0.25">
      <c r="C46" s="4"/>
      <c r="D46" s="4"/>
      <c r="E46" s="4"/>
    </row>
    <row r="47" spans="2:9" x14ac:dyDescent="0.25">
      <c r="C47" s="4"/>
      <c r="D47" s="4"/>
      <c r="E47" s="4"/>
    </row>
    <row r="48" spans="2:9" x14ac:dyDescent="0.25">
      <c r="C48" s="4"/>
      <c r="D48" s="4"/>
      <c r="E48" s="4"/>
    </row>
    <row r="49" spans="3:5" x14ac:dyDescent="0.25">
      <c r="C49" s="4"/>
      <c r="D49" s="4"/>
      <c r="E49" s="4"/>
    </row>
    <row r="50" spans="3:5" x14ac:dyDescent="0.25">
      <c r="C50" s="4"/>
      <c r="D50" s="4"/>
      <c r="E50" s="4"/>
    </row>
    <row r="51" spans="3:5" x14ac:dyDescent="0.25">
      <c r="C51" s="4"/>
      <c r="D51" s="4"/>
      <c r="E51" s="4"/>
    </row>
    <row r="52" spans="3:5" x14ac:dyDescent="0.25">
      <c r="C52" s="4"/>
      <c r="D52" s="4"/>
      <c r="E52" s="4"/>
    </row>
    <row r="53" spans="3:5" x14ac:dyDescent="0.25">
      <c r="C53" s="4"/>
      <c r="D53" s="4"/>
      <c r="E53" s="4"/>
    </row>
    <row r="54" spans="3:5" x14ac:dyDescent="0.25">
      <c r="C54" s="4"/>
      <c r="D54" s="4"/>
      <c r="E54" s="4"/>
    </row>
    <row r="55" spans="3:5" x14ac:dyDescent="0.25">
      <c r="C55" s="4"/>
      <c r="D55" s="4"/>
      <c r="E55" s="4"/>
    </row>
    <row r="56" spans="3:5" x14ac:dyDescent="0.25">
      <c r="C56" s="4"/>
      <c r="D56" s="4"/>
      <c r="E56" s="4"/>
    </row>
    <row r="57" spans="3:5" x14ac:dyDescent="0.25">
      <c r="C57" s="4"/>
      <c r="D57" s="4"/>
      <c r="E57" s="4"/>
    </row>
    <row r="58" spans="3:5" x14ac:dyDescent="0.25">
      <c r="C58" s="4"/>
      <c r="D58" s="4"/>
      <c r="E58" s="4"/>
    </row>
    <row r="59" spans="3:5" x14ac:dyDescent="0.25">
      <c r="C59" s="4"/>
      <c r="D59" s="4"/>
      <c r="E59" s="4"/>
    </row>
    <row r="60" spans="3:5" x14ac:dyDescent="0.25">
      <c r="C60" s="4"/>
      <c r="D60" s="4"/>
      <c r="E60" s="4"/>
    </row>
    <row r="61" spans="3:5" x14ac:dyDescent="0.25">
      <c r="C61" s="4"/>
      <c r="D61" s="4"/>
      <c r="E61" s="4"/>
    </row>
    <row r="62" spans="3:5" x14ac:dyDescent="0.25">
      <c r="C62" s="4"/>
      <c r="D62" s="4"/>
      <c r="E62" s="4"/>
    </row>
    <row r="63" spans="3:5" x14ac:dyDescent="0.25">
      <c r="C63" s="4"/>
      <c r="D63" s="4"/>
      <c r="E63" s="4"/>
    </row>
    <row r="64" spans="3:5" x14ac:dyDescent="0.25">
      <c r="C64" s="4"/>
      <c r="D64" s="4"/>
      <c r="E64" s="4"/>
    </row>
    <row r="65" spans="3:5" x14ac:dyDescent="0.25">
      <c r="C65" s="4"/>
      <c r="D65" s="4"/>
      <c r="E65" s="4"/>
    </row>
    <row r="66" spans="3:5" x14ac:dyDescent="0.25">
      <c r="C66" s="4"/>
      <c r="D66" s="4"/>
      <c r="E66" s="4"/>
    </row>
    <row r="67" spans="3:5" x14ac:dyDescent="0.25">
      <c r="C67" s="4"/>
      <c r="D67" s="4"/>
      <c r="E67" s="4"/>
    </row>
    <row r="68" spans="3:5" x14ac:dyDescent="0.25">
      <c r="C68" s="4"/>
      <c r="D68" s="4"/>
      <c r="E68" s="4"/>
    </row>
    <row r="69" spans="3:5" x14ac:dyDescent="0.25">
      <c r="C69" s="4"/>
      <c r="D69" s="4"/>
      <c r="E69" s="4"/>
    </row>
  </sheetData>
  <phoneticPr fontId="31" type="noConversion"/>
  <printOptions gridLines="1"/>
  <pageMargins left="0.75" right="0.75" top="0.5" bottom="0.5" header="0.5" footer="0.5"/>
  <pageSetup scale="83" orientation="landscape" horizontalDpi="4294967294"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BE676C65B3824DAB232709C7A41C5E" ma:contentTypeVersion="10" ma:contentTypeDescription="Create a new document." ma:contentTypeScope="" ma:versionID="69c20158feb40a3cef0e43b1ad81b909">
  <xsd:schema xmlns:xsd="http://www.w3.org/2001/XMLSchema" xmlns:xs="http://www.w3.org/2001/XMLSchema" xmlns:p="http://schemas.microsoft.com/office/2006/metadata/properties" xmlns:ns2="983a0582-9308-4d73-874e-04243cc574bf" targetNamespace="http://schemas.microsoft.com/office/2006/metadata/properties" ma:root="true" ma:fieldsID="6bc2d63dbc84f9937b773bd44b23c2bf" ns2:_="">
    <xsd:import namespace="983a0582-9308-4d73-874e-04243cc574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a0582-9308-4d73-874e-04243cc574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097F28-0B3A-4293-ACB2-12A5BDE0F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a0582-9308-4d73-874e-04243cc57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C1A038-DDB3-4ED5-A9EF-F79AAA49EBD9}">
  <ds:schemaRefs>
    <ds:schemaRef ds:uri="http://schemas.microsoft.com/sharepoint/v3/contenttype/forms"/>
  </ds:schemaRefs>
</ds:datastoreItem>
</file>

<file path=customXml/itemProps3.xml><?xml version="1.0" encoding="utf-8"?>
<ds:datastoreItem xmlns:ds="http://schemas.openxmlformats.org/officeDocument/2006/customXml" ds:itemID="{AB9B06E8-261E-4221-A537-BCE5815D509C}">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983a0582-9308-4d73-874e-04243cc574b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Totals and Awards</vt:lpstr>
      <vt:lpstr>Paper</vt:lpstr>
      <vt:lpstr>Static</vt:lpstr>
      <vt:lpstr>MSRP</vt:lpstr>
      <vt:lpstr>Subjective Handling </vt:lpstr>
      <vt:lpstr>Fuel Economy-Endurance  </vt:lpstr>
      <vt:lpstr>Noise</vt:lpstr>
      <vt:lpstr>Oral</vt:lpstr>
      <vt:lpstr>Acceleration</vt:lpstr>
      <vt:lpstr>Lab Emissions</vt:lpstr>
      <vt:lpstr>In Service Emissions</vt:lpstr>
      <vt:lpstr>Cold Start</vt:lpstr>
      <vt:lpstr>Objective Handling</vt:lpstr>
      <vt:lpstr>Penalties and Bonuses</vt:lpstr>
      <vt:lpstr>Vehicle Weights</vt:lpstr>
      <vt:lpstr>Acceleration!Print_Area</vt:lpstr>
      <vt:lpstr>'Fuel Economy-Endurance  '!Print_Area</vt:lpstr>
      <vt:lpstr>'Objective Handling'!Print_Area</vt:lpstr>
      <vt:lpstr>'Totals and Awards'!Print_Area</vt:lpstr>
      <vt:lpstr>'Vehicle Weights'!Print_Area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Meldrum</dc:creator>
  <cp:lastModifiedBy>Destiney Lydon</cp:lastModifiedBy>
  <cp:lastPrinted>2019-03-09T23:33:51Z</cp:lastPrinted>
  <dcterms:created xsi:type="dcterms:W3CDTF">2000-03-12T02:15:03Z</dcterms:created>
  <dcterms:modified xsi:type="dcterms:W3CDTF">2020-03-18T14:02:05Z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0x0101000BBE676C65B3824DAB232709C7A41C5E</vt:lpwstr>
  </property>
</Properties>
</file>